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2"/>
  </bookViews>
  <sheets>
    <sheet name="G" sheetId="1" r:id="rId1"/>
    <sheet name="N" sheetId="2" r:id="rId2"/>
    <sheet name="IS" sheetId="3" r:id="rId3"/>
    <sheet name="unreinforced" sheetId="4" r:id="rId4"/>
    <sheet name="ext.P" sheetId="5" r:id="rId5"/>
    <sheet name="t2&lt;&gt;t22" sheetId="6" r:id="rId6"/>
    <sheet name="stiffener" sheetId="7" r:id="rId7"/>
    <sheet name="1stayplate" sheetId="8" r:id="rId8"/>
    <sheet name="2sp" sheetId="9" r:id="rId9"/>
    <sheet name="1staybar" sheetId="10" r:id="rId10"/>
    <sheet name="2sb" sheetId="11" r:id="rId11"/>
    <sheet name="0" sheetId="12" r:id="rId12"/>
  </sheets>
  <definedNames>
    <definedName name="alpha">'IS'!$AC$55</definedName>
    <definedName name="ca">'IS'!$L$15</definedName>
    <definedName name="code">'IS'!$L$16</definedName>
    <definedName name="coname">'IS'!$AH$75</definedName>
    <definedName name="cosymbol">'IS'!$A$75</definedName>
    <definedName name="date">'IS'!$AC$6</definedName>
    <definedName name="docno">'IS'!$AC$4</definedName>
    <definedName name="dpress">'IS'!$L$11</definedName>
    <definedName name="dpu">'IS'!$O$11</definedName>
    <definedName name="dtemp">'IS'!$L$12</definedName>
    <definedName name="dtu">'IS'!$O$12</definedName>
    <definedName name="endplt5">'IS'!$M$48</definedName>
    <definedName name="itemno">'IS'!$E$5</definedName>
    <definedName name="jem">'IS'!$N$14</definedName>
    <definedName name="jem1">'IS'!$G$37</definedName>
    <definedName name="jen">'IS'!$J$14</definedName>
    <definedName name="kei">'IS'!$AC$57</definedName>
    <definedName name="lci2">'IS'!$N$62</definedName>
    <definedName name="lco2">'IS'!$AC$62</definedName>
    <definedName name="lh">'IS'!$P$35</definedName>
    <definedName name="lho">'IS'!$Q$35</definedName>
    <definedName name="li2">'IS'!$AC$53</definedName>
    <definedName name="lt2">'IS'!$E$24</definedName>
    <definedName name="lt22">'IS'!$K$24</definedName>
    <definedName name="mas">'IS'!$L$18</definedName>
    <definedName name="maxp1sb">'1staybar'!$AQ$73</definedName>
    <definedName name="maxp1sp">'1stayplate'!$AQ$71</definedName>
    <definedName name="maxp2sb">'2sb'!$AQ$73</definedName>
    <definedName name="maxp2sp">'2sp'!$AQ$71</definedName>
    <definedName name="maxpstf">'stiffener'!$AQ$76</definedName>
    <definedName name="maxpt22">'t2&lt;&gt;t22'!$AQ$74</definedName>
    <definedName name="maxpu" localSheetId="4">'ext.P'!#REF!</definedName>
    <definedName name="maxpu">'unreinforced'!$AQ$69</definedName>
    <definedName name="maxr1sb">'1staybar'!$AJ$73</definedName>
    <definedName name="maxr1sp">'1stayplate'!$AJ$71</definedName>
    <definedName name="maxr2sb">'2sb'!$AJ$73</definedName>
    <definedName name="maxr2sp">'2sp'!$AJ$71</definedName>
    <definedName name="maxrstf">'stiffener'!$AJ$76</definedName>
    <definedName name="maxrt22">'t2&lt;&gt;t22'!$AJ$74</definedName>
    <definedName name="maxru" localSheetId="4">'ext.P'!#REF!</definedName>
    <definedName name="maxru">'unreinforced'!$AJ$69</definedName>
    <definedName name="maxs1sb">'1staybar'!$AU$73</definedName>
    <definedName name="maxs1sp">'1stayplate'!$AU$71</definedName>
    <definedName name="maxs2sb">'2sb'!$AU$73</definedName>
    <definedName name="maxs2sp">'2sp'!$AU$71</definedName>
    <definedName name="maxsa1sb">'1staybar'!$AS$73</definedName>
    <definedName name="maxsa1sp">'1stayplate'!$AS$71</definedName>
    <definedName name="maxsa2sb">'2sb'!$AS$73</definedName>
    <definedName name="maxsa2sp">'2sp'!$AS$71</definedName>
    <definedName name="maxsastf">'stiffener'!$AS$76</definedName>
    <definedName name="maxsat22">'t2&lt;&gt;t22'!$AS$74</definedName>
    <definedName name="maxsau" localSheetId="4">'ext.P'!#REF!</definedName>
    <definedName name="maxsau">'unreinforced'!$AS$69</definedName>
    <definedName name="maxsec1sb">'1staybar'!$AM$73</definedName>
    <definedName name="maxsec1sp">'1stayplate'!$AM$71</definedName>
    <definedName name="maxsec2sb">'2sb'!$AM$73</definedName>
    <definedName name="maxsec2sp">'2sp'!$AM$71</definedName>
    <definedName name="maxsecstf">'stiffener'!$AM$76</definedName>
    <definedName name="maxsect22">'t2&lt;&gt;t22'!$AM$74</definedName>
    <definedName name="maxsecu" localSheetId="4">'ext.P'!#REF!</definedName>
    <definedName name="maxsecu">'unreinforced'!$AM$69</definedName>
    <definedName name="maxsstf">'stiffener'!$AU$76</definedName>
    <definedName name="maxst22">'t2&lt;&gt;t22'!$AU$74</definedName>
    <definedName name="maxsu" localSheetId="4">'ext.P'!#REF!</definedName>
    <definedName name="maxsu">'unreinforced'!$AU$69</definedName>
    <definedName name="maxyn1sb">'1staybar'!$AW$73</definedName>
    <definedName name="maxyn1sp">'1stayplate'!$AW$71</definedName>
    <definedName name="maxyn2sb">'2sb'!$AW$73</definedName>
    <definedName name="maxyn2sp">'2sp'!$AW$71</definedName>
    <definedName name="maxynstf">'stiffener'!$AW$76</definedName>
    <definedName name="maxynt22">'t2&lt;&gt;t22'!$AW$74</definedName>
    <definedName name="maxynu" localSheetId="4">'ext.P'!#REF!</definedName>
    <definedName name="maxynu">'unreinforced'!$AW$69</definedName>
    <definedName name="mys">'IS'!$L$19</definedName>
    <definedName name="okcolumn">'ext.P'!$AE$129</definedName>
    <definedName name="okep">'ext.P'!$AF$67</definedName>
    <definedName name="oklp">'ext.P'!$AF$52</definedName>
    <definedName name="oksp">'ext.P'!$AF$38</definedName>
    <definedName name="_xlnm.Print_Area" localSheetId="11">'0'!$A$1:$AH$75</definedName>
    <definedName name="_xlnm.Print_Area" localSheetId="9">'1staybar'!$A$1:$AH$75</definedName>
    <definedName name="_xlnm.Print_Area" localSheetId="7">'1stayplate'!$A$1:$AH$75</definedName>
    <definedName name="_xlnm.Print_Area" localSheetId="10">'2sb'!$A$1:$AH$75</definedName>
    <definedName name="_xlnm.Print_Area" localSheetId="8">'2sp'!$A$1:$AH$75</definedName>
    <definedName name="_xlnm.Print_Area" localSheetId="4">'ext.P'!$A$1:$AH$150</definedName>
    <definedName name="_xlnm.Print_Area" localSheetId="0">'G'!$A$1:$AB$63</definedName>
    <definedName name="_xlnm.Print_Area" localSheetId="2">'IS'!$A$1:$AH$75</definedName>
    <definedName name="_xlnm.Print_Area" localSheetId="1">'N'!$A$1:$AB$63</definedName>
    <definedName name="_xlnm.Print_Area" localSheetId="6">'stiffener'!$A$1:$AH$75</definedName>
    <definedName name="_xlnm.Print_Area" localSheetId="5">'t2&lt;&gt;t22'!$A$1:$AH$75</definedName>
    <definedName name="_xlnm.Print_Area" localSheetId="3">'unreinforced'!$A$1:$AH$75</definedName>
    <definedName name="project">'IS'!$E$4</definedName>
    <definedName name="revno">'IS'!$AC$7</definedName>
    <definedName name="sbh3">'IS'!$Z$51</definedName>
    <definedName name="sbh4">'IS'!$Z$52</definedName>
    <definedName name="sbmas">'IS'!$W$49</definedName>
    <definedName name="sbmys">'IS'!$W$50</definedName>
    <definedName name="sbpcha">'IS'!$AB$50</definedName>
    <definedName name="sbpmax">'1staybar'!$AE$26</definedName>
    <definedName name="sbt3">'IS'!$W$54</definedName>
    <definedName name="sbt4">'IS'!$W$55</definedName>
    <definedName name="sci1">'IS'!$N$60</definedName>
    <definedName name="sco1">'IS'!$AC$60</definedName>
    <definedName name="service">'IS'!$E$6</definedName>
    <definedName name="sh">'IS'!$H$24</definedName>
    <definedName name="sheetqty">'IS'!$AF$5</definedName>
    <definedName name="shellm">'IS'!$L$17</definedName>
    <definedName name="sho">'IS'!$G$23</definedName>
    <definedName name="si1">'IS'!$AC$52</definedName>
    <definedName name="sph3">'IS'!$U$51</definedName>
    <definedName name="sph4">'IS'!$U$52</definedName>
    <definedName name="spmas">'IS'!$S$49</definedName>
    <definedName name="spmys">'IS'!$S$50</definedName>
    <definedName name="spt3">'IS'!$R$54</definedName>
    <definedName name="spt4">'IS'!$R$55</definedName>
    <definedName name="st1">'IS'!$P$30</definedName>
    <definedName name="stfn2b">'IS'!$Q$23</definedName>
    <definedName name="stfn2h">'IS'!$O$23</definedName>
    <definedName name="stfn2hfb">'IS'!$R$24</definedName>
    <definedName name="stfn2size">'IS'!$R$21</definedName>
    <definedName name="stfn2t">'IS'!$S$23</definedName>
    <definedName name="stfn2t2">'IS'!$U$23</definedName>
    <definedName name="stfn2tfb">'IS'!$U$24</definedName>
    <definedName name="stfn2type">'IS'!$R$20</definedName>
    <definedName name="stfnb">'IS'!$AB$18</definedName>
    <definedName name="stfnh">'IS'!$Z$18</definedName>
    <definedName name="stfnhfb">'IS'!$AC$19</definedName>
    <definedName name="stfnmas">'IS'!$AC$13</definedName>
    <definedName name="stfnmys">'IS'!$AC$14</definedName>
    <definedName name="stfnpcha">'IS'!$Z$21</definedName>
    <definedName name="stfnpmax">'stiffener'!$W$37</definedName>
    <definedName name="stfnsize">'IS'!$AC$16</definedName>
    <definedName name="stfnt">'IS'!$AD$18</definedName>
    <definedName name="stfnt2">'IS'!$AF$18</definedName>
    <definedName name="stfntfb">'IS'!$AF$19</definedName>
    <definedName name="stfntype">'IS'!$AC$15</definedName>
    <definedName name="stfnwmax">'stiffener'!$W$39</definedName>
    <definedName name="title">'IS'!$A$1</definedName>
    <definedName name="vsllgt">'IS'!$J$47</definedName>
  </definedNames>
  <calcPr fullCalcOnLoad="1"/>
</workbook>
</file>

<file path=xl/comments3.xml><?xml version="1.0" encoding="utf-8"?>
<comments xmlns="http://schemas.openxmlformats.org/spreadsheetml/2006/main">
  <authors>
    <author>..</author>
  </authors>
  <commentList>
    <comment ref="L14" authorId="0">
      <text>
        <r>
          <rPr>
            <b/>
            <u val="single"/>
            <sz val="8"/>
            <rFont val="Arial"/>
            <family val="2"/>
          </rPr>
          <t xml:space="preserve">UW-13
</t>
        </r>
        <r>
          <rPr>
            <b/>
            <sz val="8"/>
            <rFont val="Arial"/>
            <family val="2"/>
          </rPr>
          <t xml:space="preserve">JE=1 for Welds on
     Corner &amp; Stay             </t>
        </r>
      </text>
    </comment>
    <comment ref="S15" authorId="0">
      <text>
        <r>
          <rPr>
            <b/>
            <sz val="8"/>
            <rFont val="Arial"/>
            <family val="2"/>
          </rPr>
          <t>Tube Pitch</t>
        </r>
      </text>
    </comment>
    <comment ref="S16" authorId="0">
      <text>
        <r>
          <rPr>
            <b/>
            <sz val="8"/>
            <rFont val="Arial"/>
            <family val="2"/>
          </rPr>
          <t>Tube Hole Dia.</t>
        </r>
      </text>
    </comment>
    <comment ref="N14" authorId="0">
      <text>
        <r>
          <rPr>
            <b/>
            <sz val="8"/>
            <rFont val="Arial"/>
            <family val="2"/>
          </rPr>
          <t xml:space="preserve">for " t22 "
if t2 &lt;&gt; t22
</t>
        </r>
      </text>
    </comment>
  </commentList>
</comments>
</file>

<file path=xl/sharedStrings.xml><?xml version="1.0" encoding="utf-8"?>
<sst xmlns="http://schemas.openxmlformats.org/spreadsheetml/2006/main" count="2548" uniqueCount="794">
  <si>
    <t>Doc. No.</t>
  </si>
  <si>
    <t>Sheet No.</t>
  </si>
  <si>
    <t>of</t>
  </si>
  <si>
    <t>1.</t>
  </si>
  <si>
    <t>Aaaaaa</t>
  </si>
  <si>
    <t>Project</t>
  </si>
  <si>
    <t>Item No.</t>
  </si>
  <si>
    <t>Serivice</t>
  </si>
  <si>
    <t>Project</t>
  </si>
  <si>
    <t>Item No.</t>
  </si>
  <si>
    <t>Serivice</t>
  </si>
  <si>
    <t>Project</t>
  </si>
  <si>
    <t>Doc. No.</t>
  </si>
  <si>
    <t>Item No.</t>
  </si>
  <si>
    <t>Sheet No.</t>
  </si>
  <si>
    <t>of</t>
  </si>
  <si>
    <t>Serivice</t>
  </si>
  <si>
    <t>Revision</t>
  </si>
  <si>
    <t>0.</t>
  </si>
  <si>
    <t xml:space="preserve"> NTES</t>
  </si>
  <si>
    <t xml:space="preserve">Narai Thermal Engineering Services </t>
  </si>
  <si>
    <t>x</t>
  </si>
  <si>
    <t>Date</t>
  </si>
  <si>
    <t>06.  9.  15.</t>
  </si>
  <si>
    <t>S T R E N G T H     C A L.     o f     R E C T A N G U L A R     V E S S E L</t>
  </si>
  <si>
    <t>Rectangular Vessel</t>
  </si>
  <si>
    <t>Design data</t>
  </si>
  <si>
    <t>2.</t>
  </si>
  <si>
    <t>Dimensional Schematic</t>
  </si>
  <si>
    <r>
      <t>H</t>
    </r>
    <r>
      <rPr>
        <sz val="8"/>
        <rFont val="Arial"/>
        <family val="2"/>
      </rPr>
      <t xml:space="preserve"> =</t>
    </r>
  </si>
  <si>
    <t>Q</t>
  </si>
  <si>
    <t>N</t>
  </si>
  <si>
    <t>M1</t>
  </si>
  <si>
    <t>M</t>
  </si>
  <si>
    <t>Q1</t>
  </si>
  <si>
    <t>H / 2</t>
  </si>
  <si>
    <t>t2</t>
  </si>
  <si>
    <t>t22</t>
  </si>
  <si>
    <t>t1</t>
  </si>
  <si>
    <t>h / 2</t>
  </si>
  <si>
    <t>h / 2</t>
  </si>
  <si>
    <r>
      <t>h</t>
    </r>
    <r>
      <rPr>
        <sz val="9"/>
        <rFont val="Arial"/>
        <family val="2"/>
      </rPr>
      <t xml:space="preserve"> =</t>
    </r>
  </si>
  <si>
    <t>Unreinforced Vessel</t>
  </si>
  <si>
    <t>Membrane stress</t>
  </si>
  <si>
    <t>=</t>
  </si>
  <si>
    <t>x</t>
  </si>
  <si>
    <t>/</t>
  </si>
  <si>
    <t>Design Pressure</t>
  </si>
  <si>
    <t>Design temperature</t>
  </si>
  <si>
    <t>Corrosion Allow.</t>
  </si>
  <si>
    <t>mm</t>
  </si>
  <si>
    <t>℉</t>
  </si>
  <si>
    <t>=</t>
  </si>
  <si>
    <t>Bending Stress</t>
  </si>
  <si>
    <t>[</t>
  </si>
  <si>
    <t>12  I1</t>
  </si>
  <si>
    <t>1 + K</t>
  </si>
  <si>
    <t>]</t>
  </si>
  <si>
    <t>)  ]</t>
  </si>
  <si>
    <t>-1.5 x</t>
  </si>
  <si>
    <t>^2</t>
  </si>
  <si>
    <t>+</t>
  </si>
  <si>
    <t>-1.5 H^2 + h^2  (</t>
  </si>
  <si>
    <t>^2 (</t>
  </si>
  <si>
    <r>
      <t xml:space="preserve">1 +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</si>
  <si>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>1 +</t>
  </si>
  <si>
    <t>^2 x</t>
  </si>
  <si>
    <t>3.</t>
  </si>
  <si>
    <t>Moment of Inertia</t>
  </si>
  <si>
    <t>I1</t>
  </si>
  <si>
    <t>t1^3 / 12</t>
  </si>
  <si>
    <t>^3 / 12</t>
  </si>
  <si>
    <t>mm^4</t>
  </si>
  <si>
    <t>I2</t>
  </si>
  <si>
    <t>t2^3 / 12</t>
  </si>
  <si>
    <t>Rectangular Vessel Parameter</t>
  </si>
  <si>
    <t>α</t>
  </si>
  <si>
    <t>H / h</t>
  </si>
  <si>
    <t>/</t>
  </si>
  <si>
    <t>Vessel Parameter</t>
  </si>
  <si>
    <t>K</t>
  </si>
  <si>
    <r>
      <t xml:space="preserve">I2 / I1 x </t>
    </r>
    <r>
      <rPr>
        <sz val="8"/>
        <rFont val="돋움"/>
        <family val="3"/>
      </rPr>
      <t>α</t>
    </r>
  </si>
  <si>
    <t>Distance from Neutral Axis to Extreme Fiber, where i means Inside, o means Outside</t>
  </si>
  <si>
    <t>-</t>
  </si>
  <si>
    <t>t1 / 2</t>
  </si>
  <si>
    <t>t2 / 2</t>
  </si>
  <si>
    <t>t2 / 2</t>
  </si>
  <si>
    <t>P h^2 c</t>
  </si>
  <si>
    <t>(</t>
  </si>
  <si>
    <t>)</t>
  </si>
  <si>
    <t>-1.5  +</t>
  </si>
  <si>
    <t>12  I2</t>
  </si>
  <si>
    <t>Total Stress</t>
  </si>
  <si>
    <t>StN</t>
  </si>
  <si>
    <t>+</t>
  </si>
  <si>
    <t>=</t>
  </si>
  <si>
    <t>StQ</t>
  </si>
  <si>
    <t>StM</t>
  </si>
  <si>
    <t>Code</t>
  </si>
  <si>
    <t>Mateiral</t>
  </si>
  <si>
    <t>Max. Allowable Stress</t>
  </si>
  <si>
    <t>psi.g</t>
  </si>
  <si>
    <t>ASTM</t>
  </si>
  <si>
    <t>S</t>
  </si>
  <si>
    <t>mm</t>
  </si>
  <si>
    <t>SmL</t>
  </si>
  <si>
    <t>Short Side Plate</t>
  </si>
  <si>
    <t>Long Side Plate</t>
  </si>
  <si>
    <t>Short Side Plate</t>
  </si>
  <si>
    <t>Long Side Plate</t>
  </si>
  <si>
    <t>t4</t>
  </si>
  <si>
    <r>
      <t>h</t>
    </r>
    <r>
      <rPr>
        <sz val="8"/>
        <rFont val="Arial"/>
        <family val="2"/>
      </rPr>
      <t xml:space="preserve"> =</t>
    </r>
  </si>
  <si>
    <t>Stay Plate</t>
  </si>
  <si>
    <t>SmS</t>
  </si>
  <si>
    <t>[</t>
  </si>
  <si>
    <r>
      <t xml:space="preserve">2 + K ( 5 - </t>
    </r>
    <r>
      <rPr>
        <sz val="8"/>
        <rFont val="돋움"/>
        <family val="3"/>
      </rPr>
      <t>α</t>
    </r>
    <r>
      <rPr>
        <sz val="8"/>
        <rFont val="Arial"/>
        <family val="2"/>
      </rPr>
      <t>^2 )</t>
    </r>
  </si>
  <si>
    <t>1 + 2 K</t>
  </si>
  <si>
    <t>]</t>
  </si>
  <si>
    <t>x</t>
  </si>
  <si>
    <t>2 +</t>
  </si>
  <si>
    <t>x (</t>
  </si>
  <si>
    <t>-</t>
  </si>
  <si>
    <t>^2 )</t>
  </si>
  <si>
    <t>1 +</t>
  </si>
  <si>
    <t>P h^2 c</t>
  </si>
  <si>
    <t>P  h</t>
  </si>
  <si>
    <t>4  t1</t>
  </si>
  <si>
    <t>2  t3</t>
  </si>
  <si>
    <t>P  c</t>
  </si>
  <si>
    <t>{</t>
  </si>
  <si>
    <t>]  }</t>
  </si>
  <si>
    <t>-  [</t>
  </si>
  <si>
    <t>StSP</t>
  </si>
  <si>
    <t>=</t>
  </si>
  <si>
    <t>SmL</t>
  </si>
  <si>
    <t>+</t>
  </si>
  <si>
    <t>SmSP</t>
  </si>
  <si>
    <t>S</t>
  </si>
  <si>
    <t>x S</t>
  </si>
  <si>
    <t>Vessel Stayed by a Single Plate</t>
  </si>
  <si>
    <t>24  I1</t>
  </si>
  <si>
    <t>-3 H^2 + 2 h^2  (</t>
  </si>
  <si>
    <r>
      <t xml:space="preserve">1 + 2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</si>
  <si>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>1 + 2 K</t>
  </si>
  <si>
    <t>-3 x</t>
  </si>
  <si>
    <t>+  2 x</t>
  </si>
  <si>
    <t>)</t>
  </si>
  <si>
    <r>
      <t xml:space="preserve">1 + K ( 3 - </t>
    </r>
    <r>
      <rPr>
        <sz val="8"/>
        <rFont val="돋움"/>
        <family val="3"/>
      </rPr>
      <t>α</t>
    </r>
    <r>
      <rPr>
        <sz val="8"/>
        <rFont val="Arial"/>
        <family val="2"/>
      </rPr>
      <t>^2 )</t>
    </r>
  </si>
  <si>
    <t>2 x</t>
  </si>
  <si>
    <t>1 +</t>
  </si>
  <si>
    <t xml:space="preserve"> 2 x</t>
  </si>
  <si>
    <t>3 -</t>
  </si>
  <si>
    <t>=</t>
  </si>
  <si>
    <r>
      <t xml:space="preserve">6 + K ( 11 - </t>
    </r>
    <r>
      <rPr>
        <sz val="8"/>
        <rFont val="돋움"/>
        <family val="3"/>
      </rPr>
      <t>α</t>
    </r>
    <r>
      <rPr>
        <sz val="8"/>
        <rFont val="Arial"/>
        <family val="2"/>
      </rPr>
      <t>^2 )</t>
    </r>
  </si>
  <si>
    <t>3 + 5 K</t>
  </si>
  <si>
    <r>
      <t xml:space="preserve">3 + 5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</si>
  <si>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 xml:space="preserve"> 5 x</t>
  </si>
  <si>
    <t>^2 x</t>
  </si>
  <si>
    <t>^2 x</t>
  </si>
  <si>
    <t>Project</t>
  </si>
  <si>
    <t>Doc. No.</t>
  </si>
  <si>
    <t>Item No.</t>
  </si>
  <si>
    <t>Sheet No.</t>
  </si>
  <si>
    <t>of</t>
  </si>
  <si>
    <t>Serivice</t>
  </si>
  <si>
    <t>Date</t>
  </si>
  <si>
    <t>Revision</t>
  </si>
  <si>
    <t>Unreinforced Vessel</t>
  </si>
  <si>
    <t>Membrane stress</t>
  </si>
  <si>
    <t>Short Side Plate</t>
  </si>
  <si>
    <t>S</t>
  </si>
  <si>
    <t>=</t>
  </si>
  <si>
    <t>x</t>
  </si>
  <si>
    <t>Long Side Plate</t>
  </si>
  <si>
    <t>Bending Stress</t>
  </si>
  <si>
    <t>[</t>
  </si>
  <si>
    <t>+</t>
  </si>
  <si>
    <t>Total Stress</t>
  </si>
  <si>
    <t>x S</t>
  </si>
  <si>
    <t>StM</t>
  </si>
  <si>
    <t>*</t>
  </si>
  <si>
    <t>Sm</t>
  </si>
  <si>
    <t>Smt2</t>
  </si>
  <si>
    <t>P</t>
  </si>
  <si>
    <t>8 N H t2</t>
  </si>
  <si>
    <t>{</t>
  </si>
  <si>
    <t>4 N H^2 - 2 h^2</t>
  </si>
  <si>
    <t>]  }</t>
  </si>
  <si>
    <t>8 x</t>
  </si>
  <si>
    <t>x</t>
  </si>
  <si>
    <t>^2</t>
  </si>
  <si>
    <t>[</t>
  </si>
  <si>
    <r>
      <t xml:space="preserve">( K2 + k2 )  -  k1 ( K1 + k2 )  +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K2 - K1 )</t>
    </r>
  </si>
  <si>
    <t>Smt22</t>
  </si>
  <si>
    <t>8 N H t22</t>
  </si>
  <si>
    <r>
      <t xml:space="preserve">- ( K2 + k2 )  +  k1 ( K1 + k2 )  -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K2 - K1 )</t>
    </r>
  </si>
  <si>
    <t>P c h^2</t>
  </si>
  <si>
    <t>4  N  I1</t>
  </si>
  <si>
    <r>
      <t xml:space="preserve">( K2 - k1 k2 )  +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K2 - k2 )</t>
    </r>
  </si>
  <si>
    <t>]</t>
  </si>
  <si>
    <t>}</t>
  </si>
  <si>
    <r>
      <t xml:space="preserve">( K1 k1 - k2 )  +  </t>
    </r>
    <r>
      <rPr>
        <sz val="8"/>
        <rFont val="돋움"/>
        <family val="3"/>
      </rPr>
      <t>α</t>
    </r>
    <r>
      <rPr>
        <sz val="8"/>
        <rFont val="Arial"/>
        <family val="2"/>
      </rPr>
      <t>^2 k2 ( K1 - k2 )</t>
    </r>
  </si>
  <si>
    <t>2  [</t>
  </si>
  <si>
    <t>N</t>
  </si>
  <si>
    <t>]  -</t>
  </si>
  <si>
    <t>4 N  I22</t>
  </si>
  <si>
    <t>4 N  I2</t>
  </si>
  <si>
    <t>8 N  I22</t>
  </si>
  <si>
    <t>8 N  I2</t>
  </si>
  <si>
    <t>StQ</t>
  </si>
  <si>
    <t>StQ1</t>
  </si>
  <si>
    <t>StM1</t>
  </si>
  <si>
    <t>StQ1L</t>
  </si>
  <si>
    <t>StQL</t>
  </si>
  <si>
    <t>4.</t>
  </si>
  <si>
    <t>5.</t>
  </si>
  <si>
    <t>&lt;&gt;</t>
  </si>
  <si>
    <t>Project</t>
  </si>
  <si>
    <t>Doc. No.</t>
  </si>
  <si>
    <t>Sheet No.</t>
  </si>
  <si>
    <t>of</t>
  </si>
  <si>
    <t>Date</t>
  </si>
  <si>
    <t>Revision</t>
  </si>
  <si>
    <t>3.</t>
  </si>
  <si>
    <t>*</t>
  </si>
  <si>
    <t>t2</t>
  </si>
  <si>
    <t>=</t>
  </si>
  <si>
    <t>x</t>
  </si>
  <si>
    <t>[</t>
  </si>
  <si>
    <t>)  ]</t>
  </si>
  <si>
    <t>^2</t>
  </si>
  <si>
    <t>+</t>
  </si>
  <si>
    <t>^2 (</t>
  </si>
  <si>
    <t>^2 x</t>
  </si>
  <si>
    <t>(</t>
  </si>
  <si>
    <t>)</t>
  </si>
  <si>
    <t>]</t>
  </si>
  <si>
    <t>StN</t>
  </si>
  <si>
    <t>StQ</t>
  </si>
  <si>
    <t>StM</t>
  </si>
  <si>
    <t>Reinforced Vessel</t>
  </si>
  <si>
    <t>SmS</t>
  </si>
  <si>
    <t>P  h  p</t>
  </si>
  <si>
    <t>=</t>
  </si>
  <si>
    <t>SmL</t>
  </si>
  <si>
    <t>P  H  p</t>
  </si>
  <si>
    <t>Long Side Plate</t>
  </si>
  <si>
    <t>P p c</t>
  </si>
  <si>
    <t>-3 x</t>
  </si>
  <si>
    <t>-3 H^2 + 2 h^2  (</t>
  </si>
  <si>
    <t>P h^2 p c</t>
  </si>
  <si>
    <t>12  I11</t>
  </si>
  <si>
    <t>24  I11</t>
  </si>
  <si>
    <t>-3  + 2</t>
  </si>
  <si>
    <t>24  I21</t>
  </si>
  <si>
    <t>-3 + 2</t>
  </si>
  <si>
    <t>-1.5 +</t>
  </si>
  <si>
    <t>12  I21</t>
  </si>
  <si>
    <t>:</t>
  </si>
  <si>
    <t>A 36</t>
  </si>
  <si>
    <t>:</t>
  </si>
  <si>
    <t>h</t>
  </si>
  <si>
    <t>2 x(</t>
  </si>
  <si>
    <t>)</t>
  </si>
  <si>
    <t>2 x</t>
  </si>
  <si>
    <t>5 x</t>
  </si>
  <si>
    <t>Parameters for Unreinforced</t>
  </si>
  <si>
    <t>I Beam</t>
  </si>
  <si>
    <t>Stiffener ' t2 '</t>
  </si>
  <si>
    <t>Stiffener for ' t1 '</t>
  </si>
  <si>
    <t>:</t>
  </si>
  <si>
    <t>y</t>
  </si>
  <si>
    <t>Area, A</t>
  </si>
  <si>
    <t>Ci</t>
  </si>
  <si>
    <t>Co</t>
  </si>
  <si>
    <t>=</t>
  </si>
  <si>
    <t>X</t>
  </si>
  <si>
    <t>z</t>
  </si>
  <si>
    <t>d</t>
  </si>
  <si>
    <t>Ix</t>
  </si>
  <si>
    <t>Ix+Az^2</t>
  </si>
  <si>
    <t>A y</t>
  </si>
  <si>
    <t>z =Ci-y</t>
  </si>
  <si>
    <t>A z^2</t>
  </si>
  <si>
    <t>mm^2</t>
  </si>
  <si>
    <t>mm^3</t>
  </si>
  <si>
    <t>I 150 x 75 x 5.5 x 9.5</t>
  </si>
  <si>
    <t>* UG-47, Eq. (1)</t>
  </si>
  <si>
    <t>x (</t>
  </si>
  <si>
    <t>)^0.5</t>
  </si>
  <si>
    <t>I 200 x 100 x 7 x 10</t>
  </si>
  <si>
    <t>t22</t>
  </si>
  <si>
    <t>β</t>
  </si>
  <si>
    <t>- ( d - Ci )</t>
  </si>
  <si>
    <t>-&gt;</t>
  </si>
  <si>
    <t>J</t>
  </si>
  <si>
    <t>* from Table 13-8 (d)</t>
  </si>
  <si>
    <t>H / pb</t>
  </si>
  <si>
    <t>p1</t>
  </si>
  <si>
    <t>t1 ( S C / P )^0.5</t>
  </si>
  <si>
    <t>p2</t>
  </si>
  <si>
    <t>t2 ( S C / P )^0.5</t>
  </si>
  <si>
    <t>=</t>
  </si>
  <si>
    <t>Lesser of p1 and p2</t>
  </si>
  <si>
    <t>Maximum Effective Width of the Shell Plate</t>
  </si>
  <si>
    <t>w</t>
  </si>
  <si>
    <r>
      <t xml:space="preserve">t </t>
    </r>
    <r>
      <rPr>
        <sz val="8"/>
        <rFont val="돋움"/>
        <family val="3"/>
      </rPr>
      <t>Δ</t>
    </r>
    <r>
      <rPr>
        <sz val="8"/>
        <rFont val="Arial"/>
        <family val="2"/>
      </rPr>
      <t xml:space="preserve"> / Sy^0.5</t>
    </r>
  </si>
  <si>
    <t>^0.5</t>
  </si>
  <si>
    <t>pb</t>
  </si>
  <si>
    <t>h / pb</t>
  </si>
  <si>
    <t>-&gt;</t>
  </si>
  <si>
    <t>pmax</t>
  </si>
  <si>
    <t>I21</t>
  </si>
  <si>
    <t>pmax</t>
  </si>
  <si>
    <t>Maximum Distance between Reinforcing Member Center Lines, pmax</t>
  </si>
  <si>
    <t>Basic Maximum Distance between Reinforcing Member Center Lines, pb</t>
  </si>
  <si>
    <t>* from Table 13-8 (d)</t>
  </si>
  <si>
    <t>A1</t>
  </si>
  <si>
    <t>A2</t>
  </si>
  <si>
    <t>A y / A</t>
  </si>
  <si>
    <t>A y / A</t>
  </si>
  <si>
    <t>I11</t>
  </si>
  <si>
    <t>=</t>
  </si>
  <si>
    <t>2 + 3 + 4  =</t>
  </si>
  <si>
    <r>
      <t>p</t>
    </r>
    <r>
      <rPr>
        <sz val="8"/>
        <rFont val="Arial"/>
        <family val="2"/>
      </rPr>
      <t xml:space="preserve"> = Actual Pitch  =</t>
    </r>
  </si>
  <si>
    <t>α1</t>
  </si>
  <si>
    <t>H1 / h1</t>
  </si>
  <si>
    <t>=</t>
  </si>
  <si>
    <t>+2x</t>
  </si>
  <si>
    <t>k</t>
  </si>
  <si>
    <t>=</t>
  </si>
  <si>
    <t>=</t>
  </si>
  <si>
    <r>
      <t xml:space="preserve">( I21 / I11 ) </t>
    </r>
    <r>
      <rPr>
        <sz val="8"/>
        <rFont val="돋움"/>
        <family val="3"/>
      </rPr>
      <t>α</t>
    </r>
    <r>
      <rPr>
        <sz val="8"/>
        <rFont val="Arial"/>
        <family val="2"/>
      </rPr>
      <t>1 =</t>
    </r>
  </si>
  <si>
    <t>1 + k</t>
  </si>
  <si>
    <r>
      <t xml:space="preserve">1 + </t>
    </r>
    <r>
      <rPr>
        <sz val="8"/>
        <rFont val="돋움"/>
        <family val="3"/>
      </rPr>
      <t>α</t>
    </r>
    <r>
      <rPr>
        <sz val="8"/>
        <rFont val="Arial"/>
        <family val="2"/>
      </rPr>
      <t>1^2 k</t>
    </r>
  </si>
  <si>
    <t>c</t>
  </si>
  <si>
    <t>c =</t>
  </si>
  <si>
    <t>Inner Surface</t>
  </si>
  <si>
    <t>B E N D I N G     S T R E S S</t>
  </si>
  <si>
    <t>Outer Surface</t>
  </si>
  <si>
    <t>Joint Effeciency</t>
  </si>
  <si>
    <t>Min. Yield Strength</t>
  </si>
  <si>
    <t>Sy</t>
  </si>
  <si>
    <t>Lesser</t>
  </si>
  <si>
    <t>xSy</t>
  </si>
  <si>
    <t>MEMBRANE</t>
  </si>
  <si>
    <t>Sec.</t>
  </si>
  <si>
    <t>Total</t>
  </si>
  <si>
    <t>Total</t>
  </si>
  <si>
    <t>Reinforcing Member</t>
  </si>
  <si>
    <t>:</t>
  </si>
  <si>
    <t xml:space="preserve"> Type</t>
  </si>
  <si>
    <t xml:space="preserve"> Size</t>
  </si>
  <si>
    <t xml:space="preserve"> Flat Bar</t>
  </si>
  <si>
    <t xml:space="preserve"> Code</t>
  </si>
  <si>
    <t xml:space="preserve"> Material</t>
  </si>
  <si>
    <t xml:space="preserve"> S</t>
  </si>
  <si>
    <t xml:space="preserve"> Sy</t>
  </si>
  <si>
    <r>
      <t xml:space="preserve">* </t>
    </r>
    <r>
      <rPr>
        <b/>
        <sz val="8"/>
        <rFont val="돋움"/>
        <family val="3"/>
      </rPr>
      <t>Δ</t>
    </r>
    <r>
      <rPr>
        <b/>
        <sz val="8"/>
        <rFont val="Arial"/>
        <family val="2"/>
      </rPr>
      <t xml:space="preserve"> from Table 13-8 (e)</t>
    </r>
  </si>
  <si>
    <t>p</t>
  </si>
  <si>
    <t>Lesser of  pmax,  p  &amp;  w</t>
  </si>
  <si>
    <t>TOTAL  STRESS</t>
  </si>
  <si>
    <r>
      <t xml:space="preserve">1 + </t>
    </r>
    <r>
      <rPr>
        <sz val="8"/>
        <rFont val="돋움"/>
        <family val="3"/>
      </rPr>
      <t>α</t>
    </r>
    <r>
      <rPr>
        <sz val="8"/>
        <rFont val="Arial"/>
        <family val="2"/>
      </rPr>
      <t xml:space="preserve">1^2 </t>
    </r>
    <r>
      <rPr>
        <b/>
        <sz val="8"/>
        <color indexed="10"/>
        <rFont val="Arial"/>
        <family val="2"/>
      </rPr>
      <t>k</t>
    </r>
  </si>
  <si>
    <t>Outer Surf.</t>
  </si>
  <si>
    <t>Inner Surf.</t>
  </si>
  <si>
    <t>O. S.</t>
  </si>
  <si>
    <t>I. S.</t>
  </si>
  <si>
    <t>I. S.</t>
  </si>
  <si>
    <t>O. S.</t>
  </si>
  <si>
    <t>Stay Plate</t>
  </si>
  <si>
    <t>Stay Bar</t>
  </si>
  <si>
    <t xml:space="preserve"> Mat.</t>
  </si>
  <si>
    <t>A 515-70</t>
  </si>
  <si>
    <t xml:space="preserve"> S</t>
  </si>
  <si>
    <t xml:space="preserve"> Sy</t>
  </si>
  <si>
    <t>pitch</t>
  </si>
  <si>
    <t>pmax</t>
  </si>
  <si>
    <t xml:space="preserve"> t4</t>
  </si>
  <si>
    <t xml:space="preserve"> t3</t>
  </si>
  <si>
    <t>t3</t>
  </si>
  <si>
    <t>h=</t>
  </si>
  <si>
    <t>***</t>
  </si>
  <si>
    <t>***</t>
  </si>
  <si>
    <t>O. Surf.</t>
  </si>
  <si>
    <t>I. Surf.</t>
  </si>
  <si>
    <t>t</t>
  </si>
  <si>
    <t>(Sb)N</t>
  </si>
  <si>
    <t>(Sb)QS</t>
  </si>
  <si>
    <t>(Sb)M</t>
  </si>
  <si>
    <t>(Sb)QL</t>
  </si>
  <si>
    <t>(Sb)Q</t>
  </si>
  <si>
    <t>(Sb)Q1</t>
  </si>
  <si>
    <t>(Sb)M1</t>
  </si>
  <si>
    <t>(Sb)Q1L</t>
  </si>
  <si>
    <t>Project</t>
  </si>
  <si>
    <t>Doc. No.</t>
  </si>
  <si>
    <t>Item No.</t>
  </si>
  <si>
    <t>Sheet No.</t>
  </si>
  <si>
    <t>of</t>
  </si>
  <si>
    <t>Serivice</t>
  </si>
  <si>
    <t>Date</t>
  </si>
  <si>
    <t>Revision</t>
  </si>
  <si>
    <t>5.</t>
  </si>
  <si>
    <t>Membrane stress</t>
  </si>
  <si>
    <t>S</t>
  </si>
  <si>
    <t>Short Side Plate</t>
  </si>
  <si>
    <t>=</t>
  </si>
  <si>
    <t>P  h</t>
  </si>
  <si>
    <t>{</t>
  </si>
  <si>
    <t>-  [</t>
  </si>
  <si>
    <r>
      <t xml:space="preserve">2 + K ( 5 - </t>
    </r>
    <r>
      <rPr>
        <sz val="8"/>
        <rFont val="돋움"/>
        <family val="3"/>
      </rPr>
      <t>α</t>
    </r>
    <r>
      <rPr>
        <sz val="8"/>
        <rFont val="Arial"/>
        <family val="2"/>
      </rPr>
      <t>^2 )</t>
    </r>
  </si>
  <si>
    <t>]  }</t>
  </si>
  <si>
    <t>4  t1</t>
  </si>
  <si>
    <t>1 + 2 K</t>
  </si>
  <si>
    <t>x</t>
  </si>
  <si>
    <t>2 +</t>
  </si>
  <si>
    <t>x (</t>
  </si>
  <si>
    <t>-</t>
  </si>
  <si>
    <t>^2 )</t>
  </si>
  <si>
    <t>1 +</t>
  </si>
  <si>
    <t>2 x</t>
  </si>
  <si>
    <t>Long Side Plate</t>
  </si>
  <si>
    <t>Stay Plate</t>
  </si>
  <si>
    <t>SmSP</t>
  </si>
  <si>
    <t>[</t>
  </si>
  <si>
    <t>]</t>
  </si>
  <si>
    <t>Bending Stress</t>
  </si>
  <si>
    <t>(Sb)N</t>
  </si>
  <si>
    <t>P  c</t>
  </si>
  <si>
    <r>
      <t xml:space="preserve">1 + 2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</si>
  <si>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>)  ]</t>
  </si>
  <si>
    <t>O. Surf.</t>
  </si>
  <si>
    <t>24  I1</t>
  </si>
  <si>
    <t>I. Surf.</t>
  </si>
  <si>
    <t>^2</t>
  </si>
  <si>
    <t>+  2 x</t>
  </si>
  <si>
    <t>^2 (</t>
  </si>
  <si>
    <t xml:space="preserve"> 2 x</t>
  </si>
  <si>
    <t>^2 x</t>
  </si>
  <si>
    <t>(Sb)QS</t>
  </si>
  <si>
    <t>P h^2 c</t>
  </si>
  <si>
    <t>(</t>
  </si>
  <si>
    <t>)</t>
  </si>
  <si>
    <t>12  I1</t>
  </si>
  <si>
    <t>(Sb)M</t>
  </si>
  <si>
    <r>
      <t xml:space="preserve">1 + K ( 3 - </t>
    </r>
    <r>
      <rPr>
        <sz val="8"/>
        <rFont val="돋움"/>
        <family val="3"/>
      </rPr>
      <t>α</t>
    </r>
    <r>
      <rPr>
        <sz val="8"/>
        <rFont val="Arial"/>
        <family val="2"/>
      </rPr>
      <t>^2 )</t>
    </r>
  </si>
  <si>
    <t>12  I2</t>
  </si>
  <si>
    <t>3 -</t>
  </si>
  <si>
    <t>(Sb)QL</t>
  </si>
  <si>
    <t>Total Stress</t>
  </si>
  <si>
    <t>x S</t>
  </si>
  <si>
    <t>StN</t>
  </si>
  <si>
    <t>+</t>
  </si>
  <si>
    <t>O. S.</t>
  </si>
  <si>
    <t>I. S.</t>
  </si>
  <si>
    <t>StQ</t>
  </si>
  <si>
    <t>StM</t>
  </si>
  <si>
    <t>StSP</t>
  </si>
  <si>
    <t>2  t4</t>
  </si>
  <si>
    <t>3 + 5 K</t>
  </si>
  <si>
    <t>6 +</t>
  </si>
  <si>
    <t>3 +</t>
  </si>
  <si>
    <t xml:space="preserve"> 5 x</t>
  </si>
  <si>
    <r>
      <t xml:space="preserve">3 + K ( 6 - </t>
    </r>
    <r>
      <rPr>
        <sz val="8"/>
        <rFont val="돋움"/>
        <family val="3"/>
      </rPr>
      <t>α</t>
    </r>
    <r>
      <rPr>
        <sz val="8"/>
        <rFont val="Arial"/>
        <family val="2"/>
      </rPr>
      <t>^2 )</t>
    </r>
  </si>
  <si>
    <t>6 -</t>
  </si>
  <si>
    <t>Vessel Stayed by Single Row of Circular Bars on Uniform Pitch</t>
  </si>
  <si>
    <t>/</t>
  </si>
  <si>
    <t>2 P h p</t>
  </si>
  <si>
    <r>
      <t>π</t>
    </r>
    <r>
      <rPr>
        <sz val="8"/>
        <rFont val="Arial"/>
        <family val="2"/>
      </rPr>
      <t xml:space="preserve"> t3^2</t>
    </r>
  </si>
  <si>
    <t>π</t>
  </si>
  <si>
    <t>pb</t>
  </si>
  <si>
    <t>t2 ( S C / P )^0.5</t>
  </si>
  <si>
    <t>Maximum Distance between Reinforcing Member Center Lines, pmax</t>
  </si>
  <si>
    <t>/</t>
  </si>
  <si>
    <t>=</t>
  </si>
  <si>
    <t>-&gt;</t>
  </si>
  <si>
    <t>J</t>
  </si>
  <si>
    <t>* from Table 13-8 (d)</t>
  </si>
  <si>
    <t>pmax</t>
  </si>
  <si>
    <t>=</t>
  </si>
  <si>
    <t>/</t>
  </si>
  <si>
    <t>x (</t>
  </si>
  <si>
    <t>x</t>
  </si>
  <si>
    <t>)^0.5</t>
  </si>
  <si>
    <t>=</t>
  </si>
  <si>
    <t>2h / pb</t>
  </si>
  <si>
    <t>5.</t>
  </si>
  <si>
    <t>Membrane stress</t>
  </si>
  <si>
    <t>SmS</t>
  </si>
  <si>
    <t>Basic Maximum Distance between Reinforcing Member Center Lines, pb</t>
  </si>
  <si>
    <t>* UG-47, Eq. (1)</t>
  </si>
  <si>
    <t>pb</t>
  </si>
  <si>
    <t>x (</t>
  </si>
  <si>
    <t>)^0.5</t>
  </si>
  <si>
    <t>Maximum Distance between Reinforcing Member Center Lines, pmax</t>
  </si>
  <si>
    <t>β</t>
  </si>
  <si>
    <t>2h / pb</t>
  </si>
  <si>
    <t>-&gt;</t>
  </si>
  <si>
    <t>J</t>
  </si>
  <si>
    <t>SmSP</t>
  </si>
  <si>
    <t>2 P h p</t>
  </si>
  <si>
    <t>2 x</t>
  </si>
  <si>
    <t>-</t>
  </si>
  <si>
    <t>^2 )</t>
  </si>
  <si>
    <t>π</t>
  </si>
  <si>
    <t>Bending Stress</t>
  </si>
  <si>
    <t>P  c</t>
  </si>
  <si>
    <t>O. Surf.</t>
  </si>
  <si>
    <t>I. Surf.</t>
  </si>
  <si>
    <t>12  I2</t>
  </si>
  <si>
    <t>Total Stress</t>
  </si>
  <si>
    <t>StSP</t>
  </si>
  <si>
    <t>Vessel Stayed by Double Row of Circular Bars on Uniform Pitch</t>
  </si>
  <si>
    <r>
      <t>π</t>
    </r>
    <r>
      <rPr>
        <sz val="8"/>
        <rFont val="Arial"/>
        <family val="2"/>
      </rPr>
      <t xml:space="preserve"> t4^2</t>
    </r>
  </si>
  <si>
    <r>
      <t xml:space="preserve">6 + K ( 11 - </t>
    </r>
    <r>
      <rPr>
        <sz val="8"/>
        <rFont val="돋움"/>
        <family val="3"/>
      </rPr>
      <t>α</t>
    </r>
    <r>
      <rPr>
        <sz val="8"/>
        <rFont val="Arial"/>
        <family val="2"/>
      </rPr>
      <t>^2 )</t>
    </r>
  </si>
  <si>
    <t>6 +</t>
  </si>
  <si>
    <t>5 x</t>
  </si>
  <si>
    <r>
      <t xml:space="preserve">3 + 5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</si>
  <si>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>3 + 5 K</t>
  </si>
  <si>
    <t>3 +</t>
  </si>
  <si>
    <t>3 +</t>
  </si>
  <si>
    <t>5 x</t>
  </si>
  <si>
    <t xml:space="preserve"> 5 x</t>
  </si>
  <si>
    <t>5 x</t>
  </si>
  <si>
    <t>6 -</t>
  </si>
  <si>
    <r>
      <t xml:space="preserve">3 + 5 </t>
    </r>
    <r>
      <rPr>
        <sz val="8"/>
        <rFont val="돋움"/>
        <family val="3"/>
      </rPr>
      <t>α</t>
    </r>
    <r>
      <rPr>
        <sz val="8"/>
        <rFont val="Arial"/>
        <family val="2"/>
      </rPr>
      <t>^2 K</t>
    </r>
  </si>
  <si>
    <t>3 +</t>
  </si>
  <si>
    <t xml:space="preserve"> Corrosion Allow.</t>
  </si>
  <si>
    <t>Joint</t>
  </si>
  <si>
    <t>" N "</t>
  </si>
  <si>
    <t>" Q "</t>
  </si>
  <si>
    <t>" M "</t>
  </si>
  <si>
    <t>Stay</t>
  </si>
  <si>
    <t>0.</t>
  </si>
  <si>
    <t>:</t>
  </si>
  <si>
    <r>
      <t xml:space="preserve">ASME Sec. VIII Div. 1, </t>
    </r>
    <r>
      <rPr>
        <b/>
        <sz val="8"/>
        <rFont val="Arial"/>
        <family val="2"/>
      </rPr>
      <t>Mandatory Appendix 13</t>
    </r>
  </si>
  <si>
    <t>Calculation Equation</t>
  </si>
  <si>
    <r>
      <t xml:space="preserve">* Values in </t>
    </r>
    <r>
      <rPr>
        <b/>
        <sz val="8"/>
        <color indexed="16"/>
        <rFont val="Arial"/>
        <family val="2"/>
      </rPr>
      <t>brown</t>
    </r>
    <r>
      <rPr>
        <b/>
        <sz val="8"/>
        <rFont val="Arial"/>
        <family val="2"/>
      </rPr>
      <t xml:space="preserve"> color</t>
    </r>
  </si>
  <si>
    <r>
      <t xml:space="preserve">  </t>
    </r>
    <r>
      <rPr>
        <b/>
        <sz val="8"/>
        <rFont val="Arial"/>
        <family val="2"/>
      </rPr>
      <t>are for corroded cond.</t>
    </r>
  </si>
  <si>
    <t>Assumption</t>
  </si>
  <si>
    <t>&gt;=</t>
  </si>
  <si>
    <t>Ratio, Vessel Length / h or H</t>
  </si>
  <si>
    <t>JE=</t>
  </si>
  <si>
    <t>P h / 2 t1 eN</t>
  </si>
  <si>
    <t>P H / 2 t2 eM</t>
  </si>
  <si>
    <t>/ 2 /</t>
  </si>
  <si>
    <t>eM1</t>
  </si>
  <si>
    <t>eM</t>
  </si>
  <si>
    <t>/ 2 /</t>
  </si>
  <si>
    <t>P H / 2 t2 eM</t>
  </si>
  <si>
    <t>/ 2 /</t>
  </si>
  <si>
    <t>P h / t1 eN</t>
  </si>
  <si>
    <t>/ 2 /</t>
  </si>
  <si>
    <t>eN</t>
  </si>
  <si>
    <t>}</t>
  </si>
  <si>
    <t>2 (A1 + p t1) eN</t>
  </si>
  <si>
    <t>2 (A2 + p t2) eM</t>
  </si>
  <si>
    <t xml:space="preserve"> Ligament Eff.</t>
  </si>
  <si>
    <t xml:space="preserve"> E = ( p - d ) / p</t>
  </si>
  <si>
    <t>Summary of Results</t>
  </si>
  <si>
    <t>Result</t>
  </si>
  <si>
    <t>Section</t>
  </si>
  <si>
    <t>Sact.</t>
  </si>
  <si>
    <t>Sallow</t>
  </si>
  <si>
    <t>Sact/Sallow</t>
  </si>
  <si>
    <t>Highest</t>
  </si>
  <si>
    <t>Ratio</t>
  </si>
  <si>
    <t>St / Sa</t>
  </si>
  <si>
    <t>Max.</t>
  </si>
  <si>
    <t xml:space="preserve"> Unreinforced</t>
  </si>
  <si>
    <t xml:space="preserve"> t2&lt;&gt;t22</t>
  </si>
  <si>
    <t xml:space="preserve"> Stiffened</t>
  </si>
  <si>
    <t xml:space="preserve"> 1 Stay Plate</t>
  </si>
  <si>
    <t xml:space="preserve"> 2 Stay Plate</t>
  </si>
  <si>
    <t xml:space="preserve"> 1 Row Stay Bar</t>
  </si>
  <si>
    <t xml:space="preserve"> 2 Row Stay Bar</t>
  </si>
  <si>
    <t>E</t>
  </si>
  <si>
    <t xml:space="preserve"> for " t2 "</t>
  </si>
  <si>
    <t xml:space="preserve"> if t2 &lt;&gt; t22</t>
  </si>
  <si>
    <t>N</t>
  </si>
  <si>
    <t>M</t>
  </si>
  <si>
    <t>N</t>
  </si>
  <si>
    <t>M1</t>
  </si>
  <si>
    <t>Max.</t>
  </si>
  <si>
    <t>Point</t>
  </si>
  <si>
    <t>Parameters</t>
  </si>
  <si>
    <t>k1</t>
  </si>
  <si>
    <t>I22</t>
  </si>
  <si>
    <t>t22^3 / 12</t>
  </si>
  <si>
    <t>^3</t>
  </si>
  <si>
    <t>k2</t>
  </si>
  <si>
    <t>I22 / I2</t>
  </si>
  <si>
    <r>
      <t xml:space="preserve">I22 </t>
    </r>
    <r>
      <rPr>
        <sz val="8"/>
        <rFont val="돋움"/>
        <family val="3"/>
      </rPr>
      <t>α</t>
    </r>
    <r>
      <rPr>
        <sz val="8"/>
        <rFont val="Arial"/>
        <family val="2"/>
      </rPr>
      <t xml:space="preserve"> / I1</t>
    </r>
  </si>
  <si>
    <t>K1</t>
  </si>
  <si>
    <t>K2</t>
  </si>
  <si>
    <t>2 k2 +3</t>
  </si>
  <si>
    <t>3 k1 + 2 k2</t>
  </si>
  <si>
    <t>K1 K2 - k2^2</t>
  </si>
  <si>
    <r>
      <t xml:space="preserve">for " </t>
    </r>
    <r>
      <rPr>
        <b/>
        <sz val="8"/>
        <rFont val="Arial"/>
        <family val="2"/>
      </rPr>
      <t>t22</t>
    </r>
    <r>
      <rPr>
        <sz val="8"/>
        <rFont val="Arial"/>
        <family val="2"/>
      </rPr>
      <t xml:space="preserve"> ",</t>
    </r>
  </si>
  <si>
    <t>Co22</t>
  </si>
  <si>
    <t>-t22 / 2</t>
  </si>
  <si>
    <t>/ 2</t>
  </si>
  <si>
    <t>Ci22</t>
  </si>
  <si>
    <t>- Co22</t>
  </si>
  <si>
    <t>M</t>
  </si>
  <si>
    <t>Programming</t>
  </si>
  <si>
    <t>SC - RPV - 100</t>
  </si>
  <si>
    <t>13-17 Example, P430~1</t>
  </si>
  <si>
    <t>Vessel Stayed by Two Plates</t>
  </si>
  <si>
    <t xml:space="preserve"> Program  User  Guide  :</t>
  </si>
  <si>
    <t>Doc. No.</t>
  </si>
  <si>
    <t>Date</t>
  </si>
  <si>
    <t>Revision</t>
  </si>
  <si>
    <t>1.</t>
  </si>
  <si>
    <t>Introduction</t>
  </si>
  <si>
    <t>Sheet No.</t>
  </si>
  <si>
    <t>of</t>
  </si>
  <si>
    <t>2.</t>
  </si>
  <si>
    <t>References</t>
  </si>
  <si>
    <t>The program is based on the following, which shall be referred to for further understanding.</t>
  </si>
  <si>
    <t>-</t>
  </si>
  <si>
    <t>3.</t>
  </si>
  <si>
    <t>Future Development</t>
  </si>
  <si>
    <t>Description</t>
  </si>
  <si>
    <t>Version</t>
  </si>
  <si>
    <t>Remarks</t>
  </si>
  <si>
    <t>4.</t>
  </si>
  <si>
    <t>Program Architecture</t>
  </si>
  <si>
    <t>EXCEL Sheets</t>
  </si>
  <si>
    <t>Data Files</t>
  </si>
  <si>
    <t>materials ASTM</t>
  </si>
  <si>
    <r>
      <t xml:space="preserve">Stress Values of  </t>
    </r>
    <r>
      <rPr>
        <b/>
        <sz val="9"/>
        <rFont val="Arial"/>
        <family val="2"/>
      </rPr>
      <t>ASTM</t>
    </r>
    <r>
      <rPr>
        <sz val="9"/>
        <rFont val="Arial"/>
        <family val="2"/>
      </rPr>
      <t xml:space="preserve"> / </t>
    </r>
    <r>
      <rPr>
        <b/>
        <sz val="9"/>
        <rFont val="Arial"/>
        <family val="2"/>
      </rPr>
      <t>ASME</t>
    </r>
    <r>
      <rPr>
        <sz val="9"/>
        <rFont val="Arial"/>
        <family val="2"/>
      </rPr>
      <t xml:space="preserve">  materials</t>
    </r>
  </si>
  <si>
    <t>materials common</t>
  </si>
  <si>
    <t>Material Index, Flange Data, Modulus of Elasticity, S.G. …...</t>
  </si>
  <si>
    <t>materials JIS</t>
  </si>
  <si>
    <r>
      <t xml:space="preserve">Stress Values of  </t>
    </r>
    <r>
      <rPr>
        <b/>
        <sz val="9"/>
        <rFont val="Arial"/>
        <family val="2"/>
      </rPr>
      <t>JIS</t>
    </r>
    <r>
      <rPr>
        <sz val="9"/>
        <rFont val="Arial"/>
        <family val="2"/>
      </rPr>
      <t xml:space="preserve">  materials</t>
    </r>
  </si>
  <si>
    <t>materials KS</t>
  </si>
  <si>
    <r>
      <t xml:space="preserve">Stress Values of  </t>
    </r>
    <r>
      <rPr>
        <b/>
        <sz val="9"/>
        <rFont val="Arial"/>
        <family val="2"/>
      </rPr>
      <t>KS</t>
    </r>
    <r>
      <rPr>
        <sz val="9"/>
        <rFont val="Arial"/>
        <family val="2"/>
      </rPr>
      <t xml:space="preserve">  materials</t>
    </r>
  </si>
  <si>
    <t>materials standard design</t>
  </si>
  <si>
    <t>Data for Pipe, Design Standard such as Saddle, ……</t>
  </si>
  <si>
    <t>5.</t>
  </si>
  <si>
    <t>General Information</t>
  </si>
  <si>
    <r>
      <t xml:space="preserve">Data are inputed via cells with </t>
    </r>
    <r>
      <rPr>
        <b/>
        <sz val="9"/>
        <color indexed="12"/>
        <rFont val="Arial"/>
        <family val="2"/>
      </rPr>
      <t>blue</t>
    </r>
    <r>
      <rPr>
        <sz val="9"/>
        <rFont val="Arial"/>
        <family val="2"/>
      </rPr>
      <t xml:space="preserve"> words / numbers and comboboxes.</t>
    </r>
  </si>
  <si>
    <r>
      <t xml:space="preserve">Attention shall be paid to cells with </t>
    </r>
    <r>
      <rPr>
        <b/>
        <sz val="9"/>
        <color indexed="10"/>
        <rFont val="Arial"/>
        <family val="2"/>
      </rPr>
      <t>red</t>
    </r>
    <r>
      <rPr>
        <sz val="9"/>
        <rFont val="Arial"/>
        <family val="2"/>
      </rPr>
      <t xml:space="preserve"> words /  numbers.</t>
    </r>
  </si>
  <si>
    <r>
      <t xml:space="preserve">각 Sheet 의 하단에 나타나는 회사명을 바꾸려면 INPUT SHEET 하단에 있는 </t>
    </r>
    <r>
      <rPr>
        <b/>
        <sz val="9"/>
        <color indexed="12"/>
        <rFont val="돋움"/>
        <family val="3"/>
      </rPr>
      <t>푸른색</t>
    </r>
    <r>
      <rPr>
        <sz val="9"/>
        <rFont val="돋움"/>
        <family val="3"/>
      </rPr>
      <t xml:space="preserve"> 회사명을 바꾸기만 하면 된다.</t>
    </r>
  </si>
  <si>
    <t xml:space="preserve"> Design Notes  :</t>
  </si>
  <si>
    <t>Doc. No.</t>
  </si>
  <si>
    <t>Date</t>
  </si>
  <si>
    <t>Revision</t>
  </si>
  <si>
    <t>1.</t>
  </si>
  <si>
    <t>Introduction</t>
  </si>
  <si>
    <t>Sheet No.</t>
  </si>
  <si>
    <t>of</t>
  </si>
  <si>
    <t>These notes are intended to help designers follow normal design practices, and further reach an optimum</t>
  </si>
  <si>
    <t>design.</t>
  </si>
  <si>
    <t>2.</t>
  </si>
  <si>
    <t>Notes</t>
  </si>
  <si>
    <t>Aaa</t>
  </si>
  <si>
    <t>Aaaaaa</t>
  </si>
  <si>
    <r>
      <t xml:space="preserve">This guide is intended to outline a program for </t>
    </r>
    <r>
      <rPr>
        <b/>
        <sz val="9"/>
        <rFont val="Arial"/>
        <family val="2"/>
      </rPr>
      <t xml:space="preserve">strength calculation </t>
    </r>
    <r>
      <rPr>
        <sz val="9"/>
        <rFont val="Arial"/>
        <family val="2"/>
      </rPr>
      <t>of</t>
    </r>
    <r>
      <rPr>
        <b/>
        <sz val="9"/>
        <rFont val="Arial"/>
        <family val="2"/>
      </rPr>
      <t xml:space="preserve"> rectangular vessel.</t>
    </r>
  </si>
  <si>
    <t>PUG - SCRPV - 000</t>
  </si>
  <si>
    <t>DN - SCRPV - 000</t>
  </si>
  <si>
    <t>ASME Sec. VIII Div. 1, Mandatory Appendix 13</t>
  </si>
  <si>
    <r>
      <t xml:space="preserve">" </t>
    </r>
    <r>
      <rPr>
        <b/>
        <sz val="9"/>
        <rFont val="Arial"/>
        <family val="2"/>
      </rPr>
      <t>Vessels of Noncircular Cross Section</t>
    </r>
    <r>
      <rPr>
        <sz val="9"/>
        <rFont val="Arial"/>
        <family val="2"/>
      </rPr>
      <t xml:space="preserve"> "</t>
    </r>
  </si>
  <si>
    <t>IS</t>
  </si>
  <si>
    <t>Input and Summary Sheet</t>
  </si>
  <si>
    <t>Project</t>
  </si>
  <si>
    <t>Doc. No.</t>
  </si>
  <si>
    <t>Item No.</t>
  </si>
  <si>
    <t>Sheet No.</t>
  </si>
  <si>
    <t>of</t>
  </si>
  <si>
    <t>Serivice</t>
  </si>
  <si>
    <t>Date</t>
  </si>
  <si>
    <t>Revision</t>
  </si>
  <si>
    <t>Unreinforced Vessel</t>
  </si>
  <si>
    <t>*</t>
  </si>
  <si>
    <t>t2</t>
  </si>
  <si>
    <t>=</t>
  </si>
  <si>
    <t>t22</t>
  </si>
  <si>
    <t>Short Side Plate</t>
  </si>
  <si>
    <t>x</t>
  </si>
  <si>
    <t>Long Side Plate</t>
  </si>
  <si>
    <t>07.  7.  15.</t>
  </si>
  <si>
    <r>
      <t xml:space="preserve">under </t>
    </r>
    <r>
      <rPr>
        <b/>
        <sz val="8"/>
        <color indexed="10"/>
        <rFont val="Arial"/>
        <family val="2"/>
      </rPr>
      <t>External Pressure</t>
    </r>
  </si>
  <si>
    <t>SmA</t>
  </si>
  <si>
    <t>2 ( t1 H + t2 h )</t>
  </si>
  <si>
    <t>Pe h H</t>
  </si>
  <si>
    <t>2 (</t>
  </si>
  <si>
    <t>SmB</t>
  </si>
  <si>
    <t>Pe h / 2 t1</t>
  </si>
  <si>
    <t>S'crA</t>
  </si>
  <si>
    <r>
      <t>π</t>
    </r>
    <r>
      <rPr>
        <vertAlign val="superscript"/>
        <sz val="8"/>
        <rFont val="돋움"/>
        <family val="3"/>
      </rPr>
      <t>2</t>
    </r>
    <r>
      <rPr>
        <sz val="8"/>
        <rFont val="Arial"/>
        <family val="2"/>
      </rPr>
      <t xml:space="preserve"> E2</t>
    </r>
  </si>
  <si>
    <r>
      <t xml:space="preserve">12 ( 1 - </t>
    </r>
    <r>
      <rPr>
        <sz val="8"/>
        <rFont val="돋움"/>
        <family val="3"/>
      </rPr>
      <t>υ</t>
    </r>
    <r>
      <rPr>
        <vertAlign val="superscript"/>
        <sz val="8"/>
        <rFont val="돋움"/>
        <family val="3"/>
      </rPr>
      <t>2</t>
    </r>
    <r>
      <rPr>
        <sz val="8"/>
        <rFont val="Arial"/>
        <family val="2"/>
      </rPr>
      <t xml:space="preserve"> )</t>
    </r>
  </si>
  <si>
    <t>H</t>
  </si>
  <si>
    <r>
      <t>)</t>
    </r>
    <r>
      <rPr>
        <vertAlign val="superscript"/>
        <sz val="8"/>
        <rFont val="Arial"/>
        <family val="2"/>
      </rPr>
      <t>2</t>
    </r>
  </si>
  <si>
    <r>
      <t>K</t>
    </r>
    <r>
      <rPr>
        <vertAlign val="subscript"/>
        <sz val="8"/>
        <rFont val="Arial"/>
        <family val="2"/>
      </rPr>
      <t>A</t>
    </r>
  </si>
  <si>
    <t>^2 )</t>
  </si>
  <si>
    <t>S''crA</t>
  </si>
  <si>
    <r>
      <t>Sy - Sy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4 S'crA</t>
    </r>
  </si>
  <si>
    <t>S'crB</t>
  </si>
  <si>
    <t>Lv</t>
  </si>
  <si>
    <r>
      <t>K</t>
    </r>
    <r>
      <rPr>
        <vertAlign val="subscript"/>
        <sz val="8"/>
        <rFont val="Arial"/>
        <family val="2"/>
      </rPr>
      <t>B</t>
    </r>
  </si>
  <si>
    <t>S''crB</t>
  </si>
  <si>
    <r>
      <t>Sy - Sy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/ 4 S'crB</t>
    </r>
  </si>
  <si>
    <t>^2 /</t>
  </si>
  <si>
    <t>4 /</t>
  </si>
  <si>
    <t>Pe H / 2 t2</t>
  </si>
  <si>
    <t>h</t>
  </si>
  <si>
    <t>End Plate</t>
  </si>
  <si>
    <t>Pe H Lv</t>
  </si>
  <si>
    <t>2 ( t2 Lv + t5 H )</t>
  </si>
  <si>
    <t>Pe h Lv</t>
  </si>
  <si>
    <t>2 ( t1 Lv + t5 h )</t>
  </si>
  <si>
    <t>t5</t>
  </si>
  <si>
    <t>3.1</t>
  </si>
  <si>
    <t>Stability Check</t>
  </si>
  <si>
    <t>Column Stability Check</t>
  </si>
  <si>
    <t>Sa</t>
  </si>
  <si>
    <t>Pe ho Ho</t>
  </si>
  <si>
    <t>Cc</t>
  </si>
  <si>
    <r>
      <t xml:space="preserve">* </t>
    </r>
    <r>
      <rPr>
        <b/>
        <sz val="8"/>
        <color indexed="10"/>
        <rFont val="Arial"/>
        <family val="2"/>
      </rPr>
      <t>End Plate Thk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t5</t>
    </r>
  </si>
  <si>
    <r>
      <t>( 2 π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E2 / Sy )^0.5</t>
    </r>
  </si>
  <si>
    <t>Fa</t>
  </si>
  <si>
    <r>
      <t>2 Cc</t>
    </r>
    <r>
      <rPr>
        <vertAlign val="superscript"/>
        <sz val="8"/>
        <rFont val="Arial"/>
        <family val="2"/>
      </rPr>
      <t>2</t>
    </r>
  </si>
  <si>
    <t>8 Cc</t>
  </si>
  <si>
    <r>
      <t>8 Cc</t>
    </r>
    <r>
      <rPr>
        <vertAlign val="superscript"/>
        <sz val="8"/>
        <rFont val="Arial"/>
        <family val="2"/>
      </rPr>
      <t>3</t>
    </r>
  </si>
  <si>
    <r>
      <t>)</t>
    </r>
    <r>
      <rPr>
        <vertAlign val="superscript"/>
        <sz val="8"/>
        <rFont val="Arial"/>
        <family val="2"/>
      </rPr>
      <t>2</t>
    </r>
  </si>
  <si>
    <r>
      <t>)</t>
    </r>
    <r>
      <rPr>
        <vertAlign val="superscript"/>
        <sz val="8"/>
        <rFont val="Arial"/>
        <family val="2"/>
      </rPr>
      <t>3</t>
    </r>
  </si>
  <si>
    <t>)</t>
  </si>
  <si>
    <t>R1</t>
  </si>
  <si>
    <t>Radius of Gyration,</t>
  </si>
  <si>
    <t>2 Lv / R1</t>
  </si>
  <si>
    <r>
      <t xml:space="preserve">When  2 Lv / R1 </t>
    </r>
    <r>
      <rPr>
        <b/>
        <sz val="8"/>
        <rFont val="돋움"/>
        <family val="3"/>
      </rPr>
      <t>≤</t>
    </r>
    <r>
      <rPr>
        <b/>
        <sz val="8"/>
        <rFont val="Arial"/>
        <family val="2"/>
      </rPr>
      <t xml:space="preserve"> Cc,</t>
    </r>
  </si>
  <si>
    <r>
      <t>When  2 Lv / R1 &gt;</t>
    </r>
    <r>
      <rPr>
        <b/>
        <sz val="8"/>
        <rFont val="Arial"/>
        <family val="2"/>
      </rPr>
      <t xml:space="preserve"> Cc,</t>
    </r>
  </si>
  <si>
    <r>
      <t>12 π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E2</t>
    </r>
  </si>
  <si>
    <r>
      <t>23 ( 2 Lv / R1 )</t>
    </r>
    <r>
      <rPr>
        <vertAlign val="superscript"/>
        <sz val="8"/>
        <rFont val="Arial"/>
        <family val="2"/>
      </rPr>
      <t>2</t>
    </r>
  </si>
  <si>
    <t>Sb</t>
  </si>
  <si>
    <t>M c1 / Ie</t>
  </si>
  <si>
    <t>Pe ho Ho y</t>
  </si>
  <si>
    <t>ci1</t>
  </si>
  <si>
    <t>co1</t>
  </si>
  <si>
    <t>ci2</t>
  </si>
  <si>
    <t>co2</t>
  </si>
  <si>
    <t>Ie</t>
  </si>
  <si>
    <t>F'e</t>
  </si>
  <si>
    <t>Judgement</t>
  </si>
  <si>
    <t>≤</t>
  </si>
  <si>
    <t>) x</t>
  </si>
  <si>
    <t>Orientation of Plate Dimensions and Stresses</t>
  </si>
  <si>
    <t>ScrA</t>
  </si>
  <si>
    <t>ScrB</t>
  </si>
  <si>
    <t>Where,</t>
  </si>
  <si>
    <t xml:space="preserve"> " ", External Pess.</t>
  </si>
  <si>
    <t xml:space="preserve"> Short Plate</t>
  </si>
  <si>
    <t>Column</t>
  </si>
  <si>
    <t>Long P.</t>
  </si>
  <si>
    <t>End P.</t>
  </si>
  <si>
    <t>Long Side</t>
  </si>
  <si>
    <t>Short Side</t>
  </si>
  <si>
    <t>h</t>
  </si>
  <si>
    <t>ho</t>
  </si>
  <si>
    <t>t2</t>
  </si>
  <si>
    <t>H</t>
  </si>
  <si>
    <t>Ho</t>
  </si>
  <si>
    <t>t1</t>
  </si>
  <si>
    <t>t5</t>
  </si>
  <si>
    <t>End Plate Thick</t>
  </si>
  <si>
    <t>Lv</t>
  </si>
  <si>
    <t>Sy</t>
  </si>
  <si>
    <r>
      <t xml:space="preserve">* </t>
    </r>
    <r>
      <rPr>
        <b/>
        <sz val="8"/>
        <color indexed="10"/>
        <rFont val="Arial"/>
        <family val="2"/>
      </rPr>
      <t>Vessel Lgh</t>
    </r>
    <r>
      <rPr>
        <sz val="8"/>
        <rFont val="Arial"/>
        <family val="2"/>
      </rPr>
      <t xml:space="preserve">,    </t>
    </r>
    <r>
      <rPr>
        <b/>
        <sz val="8"/>
        <rFont val="Arial"/>
        <family val="2"/>
      </rPr>
      <t>Lv</t>
    </r>
  </si>
  <si>
    <r>
      <t xml:space="preserve">(  </t>
    </r>
    <r>
      <rPr>
        <b/>
        <sz val="8"/>
        <rFont val="Arial"/>
        <family val="2"/>
      </rPr>
      <t>ASME Fig. 13-14 (b)</t>
    </r>
    <r>
      <rPr>
        <sz val="8"/>
        <rFont val="Arial"/>
        <family val="2"/>
      </rPr>
      <t xml:space="preserve">  )</t>
    </r>
  </si>
  <si>
    <t>External Press.</t>
  </si>
  <si>
    <t>Pe</t>
  </si>
  <si>
    <t>mm</t>
  </si>
  <si>
    <t>Design Data</t>
  </si>
  <si>
    <t>2( t1 Ho + t2 ho)</t>
  </si>
  <si>
    <r>
      <t>( 2 Lv / R1 )</t>
    </r>
    <r>
      <rPr>
        <vertAlign val="superscript"/>
        <sz val="8"/>
        <rFont val="Arial"/>
        <family val="2"/>
      </rPr>
      <t>2</t>
    </r>
  </si>
  <si>
    <t>(</t>
  </si>
  <si>
    <t>3( 2Lv / R1 )</t>
  </si>
  <si>
    <r>
      <t>( 2Lv / R1 )</t>
    </r>
    <r>
      <rPr>
        <vertAlign val="superscript"/>
        <sz val="8"/>
        <rFont val="Arial"/>
        <family val="2"/>
      </rPr>
      <t>3</t>
    </r>
  </si>
  <si>
    <t>(2 x</t>
  </si>
  <si>
    <t>2 x</t>
  </si>
  <si>
    <r>
      <t xml:space="preserve"> for </t>
    </r>
    <r>
      <rPr>
        <b/>
        <sz val="8"/>
        <color indexed="10"/>
        <rFont val="Arial"/>
        <family val="2"/>
      </rPr>
      <t>Ext. P.</t>
    </r>
  </si>
  <si>
    <t>2018.  2.  10.</t>
  </si>
  <si>
    <t>2006.  9.  25.</t>
  </si>
  <si>
    <t>2006.  9.  25.</t>
  </si>
  <si>
    <t>07. 7. 15.</t>
  </si>
  <si>
    <t>06.  9.  25.</t>
  </si>
  <si>
    <t>Originally Prepared.</t>
  </si>
  <si>
    <t>External Pressure included.</t>
  </si>
  <si>
    <t>Others</t>
  </si>
  <si>
    <t>Calculation Sheets</t>
  </si>
  <si>
    <t>18.  2.  10.</t>
  </si>
  <si>
    <t>Reviewed and Refined.</t>
  </si>
</sst>
</file>

<file path=xl/styles.xml><?xml version="1.0" encoding="utf-8"?>
<styleSheet xmlns="http://schemas.openxmlformats.org/spreadsheetml/2006/main">
  <numFmts count="6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"/>
    <numFmt numFmtId="179" formatCode="0.0000"/>
    <numFmt numFmtId="180" formatCode="0.000_ "/>
    <numFmt numFmtId="181" formatCode="0.00_ "/>
    <numFmt numFmtId="182" formatCode="0.0_ "/>
    <numFmt numFmtId="183" formatCode="#,##0_);[Red]\(#,##0\)"/>
    <numFmt numFmtId="184" formatCode="0_ "/>
    <numFmt numFmtId="185" formatCode="0;_"/>
    <numFmt numFmtId="186" formatCode="0;_"/>
    <numFmt numFmtId="187" formatCode="0.00000_ "/>
    <numFmt numFmtId="188" formatCode="0.0000_ "/>
    <numFmt numFmtId="189" formatCode="mm&quot;월&quot;\ dd&quot;일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 &quot;\&quot;* #,##0_ ;_ &quot;\&quot;* \-#,##0_ ;_ &quot;\&quot;* &quot;-&quot;_ ;_ @_ "/>
    <numFmt numFmtId="195" formatCode="_ * #,##0_ ;_ * \-#,##0_ ;_ * &quot;-&quot;_ ;_ @_ "/>
    <numFmt numFmtId="196" formatCode="_ &quot;\&quot;* #,##0.00_ ;_ &quot;\&quot;* \-#,##0.00_ ;_ &quot;\&quot;* &quot;-&quot;??_ ;_ @_ "/>
    <numFmt numFmtId="197" formatCode="_ * #,##0.00_ ;_ * \-#,##0.00_ ;_ * &quot;-&quot;??_ ;_ @_ "/>
    <numFmt numFmtId="198" formatCode="&quot;\&quot;#,##0;&quot;\&quot;&quot;\&quot;&quot;\&quot;&quot;\&quot;&quot;\&quot;&quot;\&quot;&quot;\&quot;&quot;\&quot;\-#,##0"/>
    <numFmt numFmtId="199" formatCode="&quot;\&quot;#,##0.00;&quot;\&quot;&quot;\&quot;&quot;\&quot;&quot;\&quot;&quot;\&quot;&quot;\&quot;&quot;\&quot;&quot;\&quot;\-#,##0.00"/>
    <numFmt numFmtId="200" formatCode="[$-412]AM/PM\ h:mm:ss"/>
    <numFmt numFmtId="201" formatCode="0.0000000"/>
    <numFmt numFmtId="202" formatCode="0.000000"/>
    <numFmt numFmtId="203" formatCode="0.00000"/>
    <numFmt numFmtId="204" formatCode="0.00000000"/>
    <numFmt numFmtId="205" formatCode="#,##0.0_ "/>
    <numFmt numFmtId="206" formatCode="0;_瀀"/>
    <numFmt numFmtId="207" formatCode="0.0;_瀀"/>
    <numFmt numFmtId="208" formatCode="0.000000_ "/>
    <numFmt numFmtId="209" formatCode="0;_頀"/>
    <numFmt numFmtId="210" formatCode="0;_뀀"/>
    <numFmt numFmtId="211" formatCode="0;_鐀"/>
    <numFmt numFmtId="212" formatCode="0;_ "/>
    <numFmt numFmtId="213" formatCode="0;_"/>
    <numFmt numFmtId="214" formatCode="0;_ꐀ"/>
    <numFmt numFmtId="215" formatCode="0;_ﰀ"/>
    <numFmt numFmtId="216" formatCode="0;_Ⰰ"/>
    <numFmt numFmtId="217" formatCode="#,##0.0_);[Red]\(#,##0.0\)"/>
    <numFmt numFmtId="218" formatCode="#,##0.00_);[Red]\(#,##0.00\)"/>
    <numFmt numFmtId="219" formatCode="0.0000000_ "/>
    <numFmt numFmtId="220" formatCode="0.00000000_ "/>
    <numFmt numFmtId="221" formatCode="0;_䐀"/>
    <numFmt numFmtId="222" formatCode="0;_⠀"/>
    <numFmt numFmtId="223" formatCode="0.0;_⠀"/>
    <numFmt numFmtId="224" formatCode="0;_鰀"/>
    <numFmt numFmtId="225" formatCode="0.0;_鰀"/>
    <numFmt numFmtId="226" formatCode="0.0_);[Red]\(0.0\)"/>
    <numFmt numFmtId="227" formatCode="0;_䀀"/>
    <numFmt numFmtId="228" formatCode="0;_가"/>
    <numFmt numFmtId="229" formatCode="0.00_);[Red]\(0.00\)"/>
  </numFmts>
  <fonts count="41">
    <font>
      <sz val="11"/>
      <name val="돋움"/>
      <family val="3"/>
    </font>
    <font>
      <sz val="8"/>
      <name val="돋움"/>
      <family val="3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돋움"/>
      <family val="3"/>
    </font>
    <font>
      <sz val="7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2"/>
      <name val="Arial"/>
      <family val="2"/>
    </font>
    <font>
      <b/>
      <sz val="7.5"/>
      <color indexed="12"/>
      <name val="Arial"/>
      <family val="2"/>
    </font>
    <font>
      <b/>
      <sz val="8"/>
      <color indexed="16"/>
      <name val="Arial"/>
      <family val="2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sz val="9"/>
      <name val="돋움"/>
      <family val="3"/>
    </font>
    <font>
      <b/>
      <sz val="9"/>
      <color indexed="10"/>
      <name val="Arial"/>
      <family val="2"/>
    </font>
    <font>
      <b/>
      <sz val="9"/>
      <color indexed="12"/>
      <name val="돋움"/>
      <family val="3"/>
    </font>
    <font>
      <sz val="9"/>
      <name val="돋움"/>
      <family val="3"/>
    </font>
    <font>
      <vertAlign val="superscript"/>
      <sz val="8"/>
      <name val="돋움"/>
      <family val="3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27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0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183" fontId="3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4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176" fontId="14" fillId="0" borderId="4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13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184" fontId="3" fillId="0" borderId="0" xfId="0" applyNumberFormat="1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3" xfId="0" applyFont="1" applyBorder="1" applyAlignment="1">
      <alignment/>
    </xf>
    <xf numFmtId="0" fontId="14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3" fontId="3" fillId="0" borderId="0" xfId="0" applyNumberFormat="1" applyFont="1" applyBorder="1" applyAlignment="1">
      <alignment horizontal="center" vertical="center"/>
    </xf>
    <xf numFmtId="183" fontId="14" fillId="0" borderId="1" xfId="0" applyNumberFormat="1" applyFont="1" applyBorder="1" applyAlignment="1">
      <alignment horizontal="center" vertical="center"/>
    </xf>
    <xf numFmtId="183" fontId="1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0" xfId="0" applyNumberFormat="1" applyFont="1" applyAlignment="1">
      <alignment/>
    </xf>
    <xf numFmtId="0" fontId="13" fillId="0" borderId="3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0" fillId="2" borderId="0" xfId="0" applyFont="1" applyFill="1" applyAlignment="1">
      <alignment/>
    </xf>
    <xf numFmtId="0" fontId="21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9" fontId="8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7" xfId="0" applyFont="1" applyBorder="1" applyAlignment="1">
      <alignment/>
    </xf>
    <xf numFmtId="0" fontId="30" fillId="2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30" fillId="2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7" xfId="0" applyFont="1" applyBorder="1" applyAlignment="1">
      <alignment/>
    </xf>
    <xf numFmtId="0" fontId="13" fillId="0" borderId="0" xfId="0" applyFont="1" applyAlignment="1">
      <alignment/>
    </xf>
    <xf numFmtId="0" fontId="3" fillId="0" borderId="15" xfId="0" applyFont="1" applyBorder="1" applyAlignment="1">
      <alignment/>
    </xf>
    <xf numFmtId="0" fontId="13" fillId="0" borderId="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34" fillId="0" borderId="21" xfId="0" applyNumberFormat="1" applyFont="1" applyBorder="1" applyAlignment="1">
      <alignment horizontal="center"/>
    </xf>
    <xf numFmtId="0" fontId="34" fillId="0" borderId="7" xfId="0" applyNumberFormat="1" applyFont="1" applyBorder="1" applyAlignment="1">
      <alignment horizontal="center"/>
    </xf>
    <xf numFmtId="0" fontId="34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9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4" fillId="0" borderId="16" xfId="0" applyNumberFormat="1" applyFont="1" applyBorder="1" applyAlignment="1">
      <alignment horizontal="center"/>
    </xf>
    <xf numFmtId="0" fontId="34" fillId="0" borderId="3" xfId="0" applyNumberFormat="1" applyFont="1" applyBorder="1" applyAlignment="1">
      <alignment horizontal="center"/>
    </xf>
    <xf numFmtId="0" fontId="34" fillId="0" borderId="17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176" fontId="3" fillId="0" borderId="35" xfId="0" applyNumberFormat="1" applyFont="1" applyBorder="1" applyAlignment="1">
      <alignment horizontal="center"/>
    </xf>
    <xf numFmtId="181" fontId="3" fillId="0" borderId="7" xfId="0" applyNumberFormat="1" applyFont="1" applyBorder="1" applyAlignment="1">
      <alignment horizontal="center"/>
    </xf>
    <xf numFmtId="181" fontId="3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6" fontId="3" fillId="0" borderId="36" xfId="0" applyNumberFormat="1" applyFont="1" applyBorder="1" applyAlignment="1">
      <alignment horizontal="center"/>
    </xf>
    <xf numFmtId="181" fontId="3" fillId="0" borderId="8" xfId="0" applyNumberFormat="1" applyFont="1" applyBorder="1" applyAlignment="1">
      <alignment horizontal="center"/>
    </xf>
    <xf numFmtId="181" fontId="3" fillId="0" borderId="20" xfId="0" applyNumberFormat="1" applyFont="1" applyBorder="1" applyAlignment="1">
      <alignment horizontal="center"/>
    </xf>
    <xf numFmtId="176" fontId="3" fillId="0" borderId="37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 horizontal="center"/>
    </xf>
    <xf numFmtId="181" fontId="3" fillId="0" borderId="23" xfId="0" applyNumberFormat="1" applyFont="1" applyBorder="1" applyAlignment="1">
      <alignment horizontal="center"/>
    </xf>
    <xf numFmtId="176" fontId="3" fillId="0" borderId="38" xfId="0" applyNumberFormat="1" applyFont="1" applyBorder="1" applyAlignment="1">
      <alignment horizontal="center"/>
    </xf>
    <xf numFmtId="181" fontId="3" fillId="0" borderId="5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76" fontId="3" fillId="0" borderId="39" xfId="0" applyNumberFormat="1" applyFont="1" applyBorder="1" applyAlignment="1">
      <alignment horizontal="center"/>
    </xf>
    <xf numFmtId="176" fontId="3" fillId="0" borderId="4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3" fillId="0" borderId="4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6" fontId="3" fillId="0" borderId="44" xfId="0" applyNumberFormat="1" applyFont="1" applyBorder="1" applyAlignment="1">
      <alignment horizontal="center"/>
    </xf>
    <xf numFmtId="176" fontId="3" fillId="0" borderId="45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Alignment="1">
      <alignment horizontal="right" vertical="center" textRotation="90"/>
    </xf>
    <xf numFmtId="176" fontId="3" fillId="0" borderId="16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82" fontId="3" fillId="0" borderId="4" xfId="0" applyNumberFormat="1" applyFont="1" applyBorder="1" applyAlignment="1">
      <alignment horizontal="right"/>
    </xf>
    <xf numFmtId="182" fontId="3" fillId="0" borderId="3" xfId="0" applyNumberFormat="1" applyFont="1" applyBorder="1" applyAlignment="1">
      <alignment horizontal="right"/>
    </xf>
    <xf numFmtId="0" fontId="5" fillId="0" borderId="4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1" fontId="3" fillId="0" borderId="0" xfId="0" applyNumberFormat="1" applyFont="1" applyAlignment="1">
      <alignment horizontal="right"/>
    </xf>
    <xf numFmtId="176" fontId="3" fillId="0" borderId="2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48" xfId="0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76" fontId="2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textRotation="90"/>
    </xf>
    <xf numFmtId="0" fontId="8" fillId="0" borderId="0" xfId="0" applyFont="1" applyBorder="1" applyAlignment="1">
      <alignment horizontal="right" vertical="center" textRotation="90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182" fontId="3" fillId="0" borderId="0" xfId="0" applyNumberFormat="1" applyFont="1" applyBorder="1" applyAlignment="1">
      <alignment horizontal="right" vertical="center" textRotation="90"/>
    </xf>
    <xf numFmtId="176" fontId="23" fillId="0" borderId="3" xfId="0" applyNumberFormat="1" applyFont="1" applyBorder="1" applyAlignment="1">
      <alignment horizontal="center"/>
    </xf>
    <xf numFmtId="176" fontId="23" fillId="0" borderId="17" xfId="0" applyNumberFormat="1" applyFont="1" applyBorder="1" applyAlignment="1">
      <alignment horizontal="center"/>
    </xf>
    <xf numFmtId="176" fontId="23" fillId="0" borderId="7" xfId="0" applyNumberFormat="1" applyFont="1" applyBorder="1" applyAlignment="1">
      <alignment horizontal="center"/>
    </xf>
    <xf numFmtId="176" fontId="23" fillId="0" borderId="2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76" fontId="3" fillId="0" borderId="14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right" vertical="center" textRotation="90"/>
    </xf>
    <xf numFmtId="176" fontId="23" fillId="0" borderId="0" xfId="0" applyNumberFormat="1" applyFont="1" applyAlignment="1">
      <alignment horizontal="left" vertical="center" textRotation="90"/>
    </xf>
    <xf numFmtId="176" fontId="3" fillId="0" borderId="0" xfId="0" applyNumberFormat="1" applyFont="1" applyAlignment="1">
      <alignment horizontal="right" vertical="center" textRotation="90"/>
    </xf>
    <xf numFmtId="182" fontId="3" fillId="0" borderId="8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176" fontId="17" fillId="0" borderId="0" xfId="0" applyNumberFormat="1" applyFont="1" applyAlignment="1">
      <alignment horizontal="center"/>
    </xf>
    <xf numFmtId="176" fontId="17" fillId="0" borderId="25" xfId="0" applyNumberFormat="1" applyFont="1" applyBorder="1" applyAlignment="1">
      <alignment horizontal="center"/>
    </xf>
    <xf numFmtId="176" fontId="17" fillId="0" borderId="26" xfId="0" applyNumberFormat="1" applyFont="1" applyBorder="1" applyAlignment="1">
      <alignment horizontal="center"/>
    </xf>
    <xf numFmtId="176" fontId="17" fillId="0" borderId="3" xfId="0" applyNumberFormat="1" applyFont="1" applyBorder="1" applyAlignment="1">
      <alignment horizontal="center"/>
    </xf>
    <xf numFmtId="176" fontId="17" fillId="0" borderId="29" xfId="0" applyNumberFormat="1" applyFont="1" applyBorder="1" applyAlignment="1">
      <alignment horizontal="center"/>
    </xf>
    <xf numFmtId="176" fontId="17" fillId="0" borderId="49" xfId="0" applyNumberFormat="1" applyFont="1" applyBorder="1" applyAlignment="1">
      <alignment horizontal="center"/>
    </xf>
    <xf numFmtId="176" fontId="17" fillId="0" borderId="7" xfId="0" applyNumberFormat="1" applyFont="1" applyBorder="1" applyAlignment="1">
      <alignment horizontal="center"/>
    </xf>
    <xf numFmtId="176" fontId="17" fillId="0" borderId="25" xfId="0" applyNumberFormat="1" applyFont="1" applyBorder="1" applyAlignment="1">
      <alignment horizontal="left"/>
    </xf>
    <xf numFmtId="176" fontId="17" fillId="0" borderId="26" xfId="0" applyNumberFormat="1" applyFont="1" applyBorder="1" applyAlignment="1">
      <alignment horizontal="left"/>
    </xf>
    <xf numFmtId="176" fontId="17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81" fontId="3" fillId="0" borderId="0" xfId="0" applyNumberFormat="1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vertical="center"/>
    </xf>
    <xf numFmtId="0" fontId="3" fillId="0" borderId="2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8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right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82" fontId="3" fillId="0" borderId="6" xfId="0" applyNumberFormat="1" applyFont="1" applyBorder="1" applyAlignment="1">
      <alignment horizontal="center"/>
    </xf>
    <xf numFmtId="183" fontId="3" fillId="0" borderId="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 vertical="center"/>
    </xf>
    <xf numFmtId="176" fontId="40" fillId="0" borderId="0" xfId="0" applyNumberFormat="1" applyFont="1" applyAlignment="1">
      <alignment horizontal="right"/>
    </xf>
    <xf numFmtId="176" fontId="14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76" fontId="1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83" fontId="3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3" fillId="0" borderId="3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176" fontId="17" fillId="0" borderId="32" xfId="0" applyNumberFormat="1" applyFont="1" applyBorder="1" applyAlignment="1">
      <alignment horizontal="center"/>
    </xf>
    <xf numFmtId="176" fontId="17" fillId="0" borderId="50" xfId="0" applyNumberFormat="1" applyFont="1" applyBorder="1" applyAlignment="1">
      <alignment horizontal="center"/>
    </xf>
    <xf numFmtId="176" fontId="17" fillId="0" borderId="5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/>
    </xf>
    <xf numFmtId="176" fontId="3" fillId="0" borderId="51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50" xfId="0" applyNumberFormat="1" applyFont="1" applyBorder="1" applyAlignment="1">
      <alignment horizontal="center"/>
    </xf>
    <xf numFmtId="176" fontId="3" fillId="0" borderId="52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6" fontId="3" fillId="0" borderId="53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4" fillId="0" borderId="52" xfId="0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2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left"/>
    </xf>
    <xf numFmtId="17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76" fontId="17" fillId="0" borderId="37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82" fontId="3" fillId="0" borderId="38" xfId="0" applyNumberFormat="1" applyFont="1" applyBorder="1" applyAlignment="1">
      <alignment horizontal="right"/>
    </xf>
    <xf numFmtId="176" fontId="17" fillId="0" borderId="38" xfId="0" applyNumberFormat="1" applyFont="1" applyBorder="1" applyAlignment="1">
      <alignment horizontal="right"/>
    </xf>
    <xf numFmtId="176" fontId="14" fillId="0" borderId="39" xfId="0" applyNumberFormat="1" applyFont="1" applyBorder="1" applyAlignment="1">
      <alignment horizontal="right"/>
    </xf>
    <xf numFmtId="176" fontId="14" fillId="0" borderId="38" xfId="0" applyNumberFormat="1" applyFont="1" applyBorder="1" applyAlignment="1">
      <alignment horizontal="right"/>
    </xf>
    <xf numFmtId="182" fontId="3" fillId="0" borderId="55" xfId="0" applyNumberFormat="1" applyFont="1" applyBorder="1" applyAlignment="1">
      <alignment horizontal="right"/>
    </xf>
    <xf numFmtId="176" fontId="17" fillId="0" borderId="55" xfId="0" applyNumberFormat="1" applyFont="1" applyBorder="1" applyAlignment="1">
      <alignment horizontal="right"/>
    </xf>
    <xf numFmtId="176" fontId="14" fillId="0" borderId="56" xfId="0" applyNumberFormat="1" applyFont="1" applyBorder="1" applyAlignment="1">
      <alignment horizontal="right"/>
    </xf>
    <xf numFmtId="176" fontId="14" fillId="0" borderId="55" xfId="0" applyNumberFormat="1" applyFont="1" applyBorder="1" applyAlignment="1">
      <alignment horizontal="right"/>
    </xf>
    <xf numFmtId="176" fontId="14" fillId="0" borderId="57" xfId="0" applyNumberFormat="1" applyFont="1" applyBorder="1" applyAlignment="1">
      <alignment horizontal="right"/>
    </xf>
    <xf numFmtId="176" fontId="14" fillId="0" borderId="58" xfId="0" applyNumberFormat="1" applyFont="1" applyBorder="1" applyAlignment="1">
      <alignment horizontal="right"/>
    </xf>
    <xf numFmtId="182" fontId="3" fillId="0" borderId="58" xfId="0" applyNumberFormat="1" applyFont="1" applyBorder="1" applyAlignment="1">
      <alignment horizontal="right"/>
    </xf>
    <xf numFmtId="176" fontId="17" fillId="0" borderId="58" xfId="0" applyNumberFormat="1" applyFont="1" applyBorder="1" applyAlignment="1">
      <alignment horizontal="right"/>
    </xf>
    <xf numFmtId="182" fontId="3" fillId="2" borderId="37" xfId="0" applyNumberFormat="1" applyFont="1" applyFill="1" applyBorder="1" applyAlignment="1">
      <alignment horizontal="right"/>
    </xf>
    <xf numFmtId="176" fontId="14" fillId="0" borderId="41" xfId="0" applyNumberFormat="1" applyFont="1" applyBorder="1" applyAlignment="1">
      <alignment horizontal="right"/>
    </xf>
    <xf numFmtId="176" fontId="14" fillId="0" borderId="3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/>
    </xf>
    <xf numFmtId="183" fontId="3" fillId="0" borderId="2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right" vertical="center" textRotation="90"/>
    </xf>
    <xf numFmtId="0" fontId="4" fillId="0" borderId="62" xfId="0" applyFont="1" applyBorder="1" applyAlignment="1">
      <alignment horizontal="right" vertical="center" textRotation="90"/>
    </xf>
    <xf numFmtId="0" fontId="4" fillId="0" borderId="63" xfId="0" applyFont="1" applyBorder="1" applyAlignment="1">
      <alignment horizontal="right" vertical="center" textRotation="90"/>
    </xf>
    <xf numFmtId="0" fontId="3" fillId="0" borderId="3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right"/>
    </xf>
    <xf numFmtId="182" fontId="3" fillId="0" borderId="4" xfId="0" applyNumberFormat="1" applyFont="1" applyBorder="1" applyAlignment="1">
      <alignment horizontal="center"/>
    </xf>
    <xf numFmtId="181" fontId="4" fillId="0" borderId="4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center"/>
    </xf>
    <xf numFmtId="181" fontId="4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76" fontId="17" fillId="0" borderId="30" xfId="0" applyNumberFormat="1" applyFont="1" applyBorder="1" applyAlignment="1">
      <alignment horizontal="center"/>
    </xf>
    <xf numFmtId="176" fontId="17" fillId="0" borderId="51" xfId="0" applyNumberFormat="1" applyFont="1" applyBorder="1" applyAlignment="1">
      <alignment horizontal="center"/>
    </xf>
    <xf numFmtId="176" fontId="17" fillId="0" borderId="4" xfId="0" applyNumberFormat="1" applyFont="1" applyBorder="1" applyAlignment="1">
      <alignment horizontal="center"/>
    </xf>
    <xf numFmtId="176" fontId="17" fillId="0" borderId="31" xfId="0" applyNumberFormat="1" applyFont="1" applyBorder="1" applyAlignment="1">
      <alignment horizontal="center"/>
    </xf>
    <xf numFmtId="176" fontId="17" fillId="0" borderId="64" xfId="0" applyNumberFormat="1" applyFont="1" applyBorder="1" applyAlignment="1">
      <alignment horizontal="center"/>
    </xf>
    <xf numFmtId="176" fontId="17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Normal" xfId="0"/>
    <cellStyle name="Currency_ SG&amp;A Bridge " xfId="15"/>
    <cellStyle name="Normal_ SG&amp;A Bridge " xfId="16"/>
    <cellStyle name="Percent" xfId="17"/>
    <cellStyle name="뷭?_BOOKSHIP" xfId="18"/>
    <cellStyle name="Comma" xfId="19"/>
    <cellStyle name="Comma [0]" xfId="20"/>
    <cellStyle name="Followed Hyperlink" xfId="21"/>
    <cellStyle name="콤마 [0]_1085-LTR" xfId="22"/>
    <cellStyle name="콤마_1085-LTR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11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9.emf" /><Relationship Id="rId10" Type="http://schemas.openxmlformats.org/officeDocument/2006/relationships/image" Target="../media/image2.emf" /><Relationship Id="rId11" Type="http://schemas.openxmlformats.org/officeDocument/2006/relationships/image" Target="../media/image10.emf" /><Relationship Id="rId1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28</xdr:row>
      <xdr:rowOff>85725</xdr:rowOff>
    </xdr:from>
    <xdr:to>
      <xdr:col>4</xdr:col>
      <xdr:colOff>0</xdr:colOff>
      <xdr:row>43</xdr:row>
      <xdr:rowOff>38100</xdr:rowOff>
    </xdr:to>
    <xdr:sp>
      <xdr:nvSpPr>
        <xdr:cNvPr id="1" name="Line 2"/>
        <xdr:cNvSpPr>
          <a:spLocks/>
        </xdr:cNvSpPr>
      </xdr:nvSpPr>
      <xdr:spPr>
        <a:xfrm>
          <a:off x="800100" y="3552825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85725</xdr:rowOff>
    </xdr:from>
    <xdr:to>
      <xdr:col>12</xdr:col>
      <xdr:colOff>0</xdr:colOff>
      <xdr:row>28</xdr:row>
      <xdr:rowOff>85725</xdr:rowOff>
    </xdr:to>
    <xdr:sp>
      <xdr:nvSpPr>
        <xdr:cNvPr id="2" name="Line 3"/>
        <xdr:cNvSpPr>
          <a:spLocks/>
        </xdr:cNvSpPr>
      </xdr:nvSpPr>
      <xdr:spPr>
        <a:xfrm>
          <a:off x="800100" y="3552825"/>
          <a:ext cx="16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3" name="Line 4"/>
        <xdr:cNvSpPr>
          <a:spLocks/>
        </xdr:cNvSpPr>
      </xdr:nvSpPr>
      <xdr:spPr>
        <a:xfrm>
          <a:off x="1000125" y="3714750"/>
          <a:ext cx="120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42</xdr:row>
      <xdr:rowOff>0</xdr:rowOff>
    </xdr:to>
    <xdr:sp>
      <xdr:nvSpPr>
        <xdr:cNvPr id="4" name="Line 5"/>
        <xdr:cNvSpPr>
          <a:spLocks/>
        </xdr:cNvSpPr>
      </xdr:nvSpPr>
      <xdr:spPr>
        <a:xfrm>
          <a:off x="1000125" y="371475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66675</xdr:rowOff>
    </xdr:from>
    <xdr:to>
      <xdr:col>8</xdr:col>
      <xdr:colOff>0</xdr:colOff>
      <xdr:row>43</xdr:row>
      <xdr:rowOff>57150</xdr:rowOff>
    </xdr:to>
    <xdr:sp>
      <xdr:nvSpPr>
        <xdr:cNvPr id="5" name="Line 8"/>
        <xdr:cNvSpPr>
          <a:spLocks/>
        </xdr:cNvSpPr>
      </xdr:nvSpPr>
      <xdr:spPr>
        <a:xfrm>
          <a:off x="1600200" y="353377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42</xdr:row>
      <xdr:rowOff>0</xdr:rowOff>
    </xdr:to>
    <xdr:sp>
      <xdr:nvSpPr>
        <xdr:cNvPr id="6" name="Line 9"/>
        <xdr:cNvSpPr>
          <a:spLocks/>
        </xdr:cNvSpPr>
      </xdr:nvSpPr>
      <xdr:spPr>
        <a:xfrm>
          <a:off x="2200275" y="371475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85725</xdr:rowOff>
    </xdr:from>
    <xdr:to>
      <xdr:col>12</xdr:col>
      <xdr:colOff>0</xdr:colOff>
      <xdr:row>43</xdr:row>
      <xdr:rowOff>38100</xdr:rowOff>
    </xdr:to>
    <xdr:sp>
      <xdr:nvSpPr>
        <xdr:cNvPr id="7" name="Line 11"/>
        <xdr:cNvSpPr>
          <a:spLocks/>
        </xdr:cNvSpPr>
      </xdr:nvSpPr>
      <xdr:spPr>
        <a:xfrm>
          <a:off x="2400300" y="3552825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152400</xdr:colOff>
      <xdr:row>36</xdr:row>
      <xdr:rowOff>0</xdr:rowOff>
    </xdr:from>
    <xdr:to>
      <xdr:col>12</xdr:col>
      <xdr:colOff>57150</xdr:colOff>
      <xdr:row>36</xdr:row>
      <xdr:rowOff>0</xdr:rowOff>
    </xdr:to>
    <xdr:sp>
      <xdr:nvSpPr>
        <xdr:cNvPr id="8" name="Line 12"/>
        <xdr:cNvSpPr>
          <a:spLocks/>
        </xdr:cNvSpPr>
      </xdr:nvSpPr>
      <xdr:spPr>
        <a:xfrm>
          <a:off x="752475" y="44577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9" name="Line 13"/>
        <xdr:cNvSpPr>
          <a:spLocks/>
        </xdr:cNvSpPr>
      </xdr:nvSpPr>
      <xdr:spPr>
        <a:xfrm>
          <a:off x="1000125" y="5200650"/>
          <a:ext cx="120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38100</xdr:rowOff>
    </xdr:from>
    <xdr:to>
      <xdr:col>12</xdr:col>
      <xdr:colOff>0</xdr:colOff>
      <xdr:row>43</xdr:row>
      <xdr:rowOff>38100</xdr:rowOff>
    </xdr:to>
    <xdr:sp>
      <xdr:nvSpPr>
        <xdr:cNvPr id="10" name="Line 14"/>
        <xdr:cNvSpPr>
          <a:spLocks/>
        </xdr:cNvSpPr>
      </xdr:nvSpPr>
      <xdr:spPr>
        <a:xfrm>
          <a:off x="800100" y="5362575"/>
          <a:ext cx="16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104775</xdr:rowOff>
    </xdr:from>
    <xdr:to>
      <xdr:col>5</xdr:col>
      <xdr:colOff>0</xdr:colOff>
      <xdr:row>28</xdr:row>
      <xdr:rowOff>19050</xdr:rowOff>
    </xdr:to>
    <xdr:sp>
      <xdr:nvSpPr>
        <xdr:cNvPr id="11" name="Line 15"/>
        <xdr:cNvSpPr>
          <a:spLocks/>
        </xdr:cNvSpPr>
      </xdr:nvSpPr>
      <xdr:spPr>
        <a:xfrm flipV="1">
          <a:off x="1000125" y="3076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104775</xdr:rowOff>
    </xdr:from>
    <xdr:to>
      <xdr:col>11</xdr:col>
      <xdr:colOff>0</xdr:colOff>
      <xdr:row>28</xdr:row>
      <xdr:rowOff>19050</xdr:rowOff>
    </xdr:to>
    <xdr:sp>
      <xdr:nvSpPr>
        <xdr:cNvPr id="12" name="Line 16"/>
        <xdr:cNvSpPr>
          <a:spLocks/>
        </xdr:cNvSpPr>
      </xdr:nvSpPr>
      <xdr:spPr>
        <a:xfrm flipV="1">
          <a:off x="2200275" y="3076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76200</xdr:colOff>
      <xdr:row>30</xdr:row>
      <xdr:rowOff>0</xdr:rowOff>
    </xdr:from>
    <xdr:to>
      <xdr:col>15</xdr:col>
      <xdr:colOff>28575</xdr:colOff>
      <xdr:row>30</xdr:row>
      <xdr:rowOff>0</xdr:rowOff>
    </xdr:to>
    <xdr:sp>
      <xdr:nvSpPr>
        <xdr:cNvPr id="13" name="Line 17"/>
        <xdr:cNvSpPr>
          <a:spLocks/>
        </xdr:cNvSpPr>
      </xdr:nvSpPr>
      <xdr:spPr>
        <a:xfrm>
          <a:off x="2476500" y="37147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66675</xdr:colOff>
      <xdr:row>42</xdr:row>
      <xdr:rowOff>0</xdr:rowOff>
    </xdr:from>
    <xdr:to>
      <xdr:col>15</xdr:col>
      <xdr:colOff>28575</xdr:colOff>
      <xdr:row>42</xdr:row>
      <xdr:rowOff>0</xdr:rowOff>
    </xdr:to>
    <xdr:sp>
      <xdr:nvSpPr>
        <xdr:cNvPr id="14" name="Line 18"/>
        <xdr:cNvSpPr>
          <a:spLocks/>
        </xdr:cNvSpPr>
      </xdr:nvSpPr>
      <xdr:spPr>
        <a:xfrm>
          <a:off x="2466975" y="5200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5" name="Line 19"/>
        <xdr:cNvSpPr>
          <a:spLocks/>
        </xdr:cNvSpPr>
      </xdr:nvSpPr>
      <xdr:spPr>
        <a:xfrm>
          <a:off x="1000125" y="30956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42</xdr:row>
      <xdr:rowOff>0</xdr:rowOff>
    </xdr:to>
    <xdr:sp>
      <xdr:nvSpPr>
        <xdr:cNvPr id="16" name="Line 20"/>
        <xdr:cNvSpPr>
          <a:spLocks/>
        </xdr:cNvSpPr>
      </xdr:nvSpPr>
      <xdr:spPr>
        <a:xfrm>
          <a:off x="3000375" y="3714750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85725</xdr:rowOff>
    </xdr:from>
    <xdr:to>
      <xdr:col>17</xdr:col>
      <xdr:colOff>0</xdr:colOff>
      <xdr:row>43</xdr:row>
      <xdr:rowOff>38100</xdr:rowOff>
    </xdr:to>
    <xdr:sp>
      <xdr:nvSpPr>
        <xdr:cNvPr id="17" name="Line 23"/>
        <xdr:cNvSpPr>
          <a:spLocks/>
        </xdr:cNvSpPr>
      </xdr:nvSpPr>
      <xdr:spPr>
        <a:xfrm>
          <a:off x="3400425" y="35528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18" name="Line 24"/>
        <xdr:cNvSpPr>
          <a:spLocks/>
        </xdr:cNvSpPr>
      </xdr:nvSpPr>
      <xdr:spPr>
        <a:xfrm>
          <a:off x="800100" y="2847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95250</xdr:rowOff>
    </xdr:from>
    <xdr:to>
      <xdr:col>4</xdr:col>
      <xdr:colOff>0</xdr:colOff>
      <xdr:row>23</xdr:row>
      <xdr:rowOff>85725</xdr:rowOff>
    </xdr:to>
    <xdr:sp>
      <xdr:nvSpPr>
        <xdr:cNvPr id="19" name="Line 25"/>
        <xdr:cNvSpPr>
          <a:spLocks/>
        </xdr:cNvSpPr>
      </xdr:nvSpPr>
      <xdr:spPr>
        <a:xfrm flipV="1">
          <a:off x="800100" y="2819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95250</xdr:rowOff>
    </xdr:from>
    <xdr:to>
      <xdr:col>12</xdr:col>
      <xdr:colOff>0</xdr:colOff>
      <xdr:row>23</xdr:row>
      <xdr:rowOff>104775</xdr:rowOff>
    </xdr:to>
    <xdr:sp>
      <xdr:nvSpPr>
        <xdr:cNvPr id="20" name="Line 26"/>
        <xdr:cNvSpPr>
          <a:spLocks/>
        </xdr:cNvSpPr>
      </xdr:nvSpPr>
      <xdr:spPr>
        <a:xfrm flipV="1">
          <a:off x="2400300" y="2819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85725</xdr:colOff>
      <xdr:row>28</xdr:row>
      <xdr:rowOff>85725</xdr:rowOff>
    </xdr:from>
    <xdr:to>
      <xdr:col>17</xdr:col>
      <xdr:colOff>38100</xdr:colOff>
      <xdr:row>28</xdr:row>
      <xdr:rowOff>85725</xdr:rowOff>
    </xdr:to>
    <xdr:sp>
      <xdr:nvSpPr>
        <xdr:cNvPr id="21" name="Line 27"/>
        <xdr:cNvSpPr>
          <a:spLocks/>
        </xdr:cNvSpPr>
      </xdr:nvSpPr>
      <xdr:spPr>
        <a:xfrm>
          <a:off x="2486025" y="3552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76200</xdr:colOff>
      <xdr:row>43</xdr:row>
      <xdr:rowOff>38100</xdr:rowOff>
    </xdr:from>
    <xdr:to>
      <xdr:col>17</xdr:col>
      <xdr:colOff>38100</xdr:colOff>
      <xdr:row>43</xdr:row>
      <xdr:rowOff>38100</xdr:rowOff>
    </xdr:to>
    <xdr:sp>
      <xdr:nvSpPr>
        <xdr:cNvPr id="22" name="Line 28"/>
        <xdr:cNvSpPr>
          <a:spLocks/>
        </xdr:cNvSpPr>
      </xdr:nvSpPr>
      <xdr:spPr>
        <a:xfrm>
          <a:off x="2476500" y="5362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" name="Line 40"/>
        <xdr:cNvSpPr>
          <a:spLocks/>
        </xdr:cNvSpPr>
      </xdr:nvSpPr>
      <xdr:spPr>
        <a:xfrm>
          <a:off x="1000125" y="3343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24" name="Line 41"/>
        <xdr:cNvSpPr>
          <a:spLocks/>
        </xdr:cNvSpPr>
      </xdr:nvSpPr>
      <xdr:spPr>
        <a:xfrm>
          <a:off x="1600200" y="3343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76200</xdr:rowOff>
    </xdr:from>
    <xdr:to>
      <xdr:col>8</xdr:col>
      <xdr:colOff>0</xdr:colOff>
      <xdr:row>28</xdr:row>
      <xdr:rowOff>0</xdr:rowOff>
    </xdr:to>
    <xdr:sp>
      <xdr:nvSpPr>
        <xdr:cNvPr id="25" name="Line 42"/>
        <xdr:cNvSpPr>
          <a:spLocks/>
        </xdr:cNvSpPr>
      </xdr:nvSpPr>
      <xdr:spPr>
        <a:xfrm>
          <a:off x="1600200" y="3171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36</xdr:row>
      <xdr:rowOff>0</xdr:rowOff>
    </xdr:to>
    <xdr:sp>
      <xdr:nvSpPr>
        <xdr:cNvPr id="26" name="Line 43"/>
        <xdr:cNvSpPr>
          <a:spLocks/>
        </xdr:cNvSpPr>
      </xdr:nvSpPr>
      <xdr:spPr>
        <a:xfrm>
          <a:off x="2800350" y="37147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42</xdr:row>
      <xdr:rowOff>0</xdr:rowOff>
    </xdr:to>
    <xdr:sp>
      <xdr:nvSpPr>
        <xdr:cNvPr id="27" name="Line 44"/>
        <xdr:cNvSpPr>
          <a:spLocks/>
        </xdr:cNvSpPr>
      </xdr:nvSpPr>
      <xdr:spPr>
        <a:xfrm>
          <a:off x="2800350" y="44577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114300</xdr:colOff>
      <xdr:row>36</xdr:row>
      <xdr:rowOff>0</xdr:rowOff>
    </xdr:from>
    <xdr:to>
      <xdr:col>14</xdr:col>
      <xdr:colOff>38100</xdr:colOff>
      <xdr:row>36</xdr:row>
      <xdr:rowOff>0</xdr:rowOff>
    </xdr:to>
    <xdr:sp>
      <xdr:nvSpPr>
        <xdr:cNvPr id="28" name="Line 45"/>
        <xdr:cNvSpPr>
          <a:spLocks/>
        </xdr:cNvSpPr>
      </xdr:nvSpPr>
      <xdr:spPr>
        <a:xfrm>
          <a:off x="2514600" y="4457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57150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9" name="Line 50"/>
        <xdr:cNvSpPr>
          <a:spLocks/>
        </xdr:cNvSpPr>
      </xdr:nvSpPr>
      <xdr:spPr>
        <a:xfrm>
          <a:off x="657225" y="3095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152400</xdr:colOff>
      <xdr:row>25</xdr:row>
      <xdr:rowOff>0</xdr:rowOff>
    </xdr:to>
    <xdr:sp>
      <xdr:nvSpPr>
        <xdr:cNvPr id="30" name="Line 51"/>
        <xdr:cNvSpPr>
          <a:spLocks/>
        </xdr:cNvSpPr>
      </xdr:nvSpPr>
      <xdr:spPr>
        <a:xfrm flipH="1">
          <a:off x="2400300" y="3095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66675</xdr:rowOff>
    </xdr:from>
    <xdr:to>
      <xdr:col>15</xdr:col>
      <xdr:colOff>0</xdr:colOff>
      <xdr:row>28</xdr:row>
      <xdr:rowOff>85725</xdr:rowOff>
    </xdr:to>
    <xdr:sp>
      <xdr:nvSpPr>
        <xdr:cNvPr id="31" name="Line 52"/>
        <xdr:cNvSpPr>
          <a:spLocks/>
        </xdr:cNvSpPr>
      </xdr:nvSpPr>
      <xdr:spPr>
        <a:xfrm>
          <a:off x="3000375" y="3409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28575</xdr:rowOff>
    </xdr:from>
    <xdr:to>
      <xdr:col>15</xdr:col>
      <xdr:colOff>0</xdr:colOff>
      <xdr:row>44</xdr:row>
      <xdr:rowOff>47625</xdr:rowOff>
    </xdr:to>
    <xdr:sp>
      <xdr:nvSpPr>
        <xdr:cNvPr id="32" name="Line 53"/>
        <xdr:cNvSpPr>
          <a:spLocks/>
        </xdr:cNvSpPr>
      </xdr:nvSpPr>
      <xdr:spPr>
        <a:xfrm flipV="1">
          <a:off x="3000375" y="5353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3" name="Line 54"/>
        <xdr:cNvSpPr>
          <a:spLocks/>
        </xdr:cNvSpPr>
      </xdr:nvSpPr>
      <xdr:spPr>
        <a:xfrm>
          <a:off x="800100" y="3095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34" name="Line 55"/>
        <xdr:cNvSpPr>
          <a:spLocks/>
        </xdr:cNvSpPr>
      </xdr:nvSpPr>
      <xdr:spPr>
        <a:xfrm>
          <a:off x="2200275" y="3095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28</xdr:row>
      <xdr:rowOff>85725</xdr:rowOff>
    </xdr:from>
    <xdr:to>
      <xdr:col>15</xdr:col>
      <xdr:colOff>0</xdr:colOff>
      <xdr:row>30</xdr:row>
      <xdr:rowOff>0</xdr:rowOff>
    </xdr:to>
    <xdr:sp>
      <xdr:nvSpPr>
        <xdr:cNvPr id="35" name="Line 56"/>
        <xdr:cNvSpPr>
          <a:spLocks/>
        </xdr:cNvSpPr>
      </xdr:nvSpPr>
      <xdr:spPr>
        <a:xfrm>
          <a:off x="3000375" y="3552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43</xdr:row>
      <xdr:rowOff>38100</xdr:rowOff>
    </xdr:to>
    <xdr:sp>
      <xdr:nvSpPr>
        <xdr:cNvPr id="36" name="Line 57"/>
        <xdr:cNvSpPr>
          <a:spLocks/>
        </xdr:cNvSpPr>
      </xdr:nvSpPr>
      <xdr:spPr>
        <a:xfrm>
          <a:off x="3000375" y="5200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10</xdr:row>
      <xdr:rowOff>0</xdr:rowOff>
    </xdr:from>
    <xdr:to>
      <xdr:col>17</xdr:col>
      <xdr:colOff>0</xdr:colOff>
      <xdr:row>11</xdr:row>
      <xdr:rowOff>19050</xdr:rowOff>
    </xdr:to>
    <xdr:pic>
      <xdr:nvPicPr>
        <xdr:cNvPr id="37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238250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0</xdr:colOff>
      <xdr:row>11</xdr:row>
      <xdr:rowOff>0</xdr:rowOff>
    </xdr:from>
    <xdr:to>
      <xdr:col>16</xdr:col>
      <xdr:colOff>0</xdr:colOff>
      <xdr:row>12</xdr:row>
      <xdr:rowOff>19050</xdr:rowOff>
    </xdr:to>
    <xdr:pic>
      <xdr:nvPicPr>
        <xdr:cNvPr id="38" name="Combo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36207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15</xdr:row>
      <xdr:rowOff>0</xdr:rowOff>
    </xdr:from>
    <xdr:to>
      <xdr:col>14</xdr:col>
      <xdr:colOff>0</xdr:colOff>
      <xdr:row>16</xdr:row>
      <xdr:rowOff>19050</xdr:rowOff>
    </xdr:to>
    <xdr:pic>
      <xdr:nvPicPr>
        <xdr:cNvPr id="39" name="ComboBox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185737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16</xdr:row>
      <xdr:rowOff>0</xdr:rowOff>
    </xdr:from>
    <xdr:to>
      <xdr:col>15</xdr:col>
      <xdr:colOff>0</xdr:colOff>
      <xdr:row>17</xdr:row>
      <xdr:rowOff>19050</xdr:rowOff>
    </xdr:to>
    <xdr:pic>
      <xdr:nvPicPr>
        <xdr:cNvPr id="40" name="ComboBox1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198120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18</xdr:col>
      <xdr:colOff>0</xdr:colOff>
      <xdr:row>28</xdr:row>
      <xdr:rowOff>85725</xdr:rowOff>
    </xdr:from>
    <xdr:to>
      <xdr:col>18</xdr:col>
      <xdr:colOff>0</xdr:colOff>
      <xdr:row>43</xdr:row>
      <xdr:rowOff>38100</xdr:rowOff>
    </xdr:to>
    <xdr:sp>
      <xdr:nvSpPr>
        <xdr:cNvPr id="41" name="Line 73"/>
        <xdr:cNvSpPr>
          <a:spLocks/>
        </xdr:cNvSpPr>
      </xdr:nvSpPr>
      <xdr:spPr>
        <a:xfrm>
          <a:off x="3600450" y="3552825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85725</xdr:rowOff>
    </xdr:from>
    <xdr:to>
      <xdr:col>21</xdr:col>
      <xdr:colOff>104775</xdr:colOff>
      <xdr:row>28</xdr:row>
      <xdr:rowOff>85725</xdr:rowOff>
    </xdr:to>
    <xdr:sp>
      <xdr:nvSpPr>
        <xdr:cNvPr id="42" name="Line 74"/>
        <xdr:cNvSpPr>
          <a:spLocks/>
        </xdr:cNvSpPr>
      </xdr:nvSpPr>
      <xdr:spPr>
        <a:xfrm>
          <a:off x="3600450" y="3552825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21</xdr:col>
      <xdr:colOff>76200</xdr:colOff>
      <xdr:row>30</xdr:row>
      <xdr:rowOff>0</xdr:rowOff>
    </xdr:to>
    <xdr:sp>
      <xdr:nvSpPr>
        <xdr:cNvPr id="43" name="Line 75"/>
        <xdr:cNvSpPr>
          <a:spLocks/>
        </xdr:cNvSpPr>
      </xdr:nvSpPr>
      <xdr:spPr>
        <a:xfrm>
          <a:off x="3800475" y="371475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42</xdr:row>
      <xdr:rowOff>0</xdr:rowOff>
    </xdr:to>
    <xdr:sp>
      <xdr:nvSpPr>
        <xdr:cNvPr id="44" name="Line 76"/>
        <xdr:cNvSpPr>
          <a:spLocks/>
        </xdr:cNvSpPr>
      </xdr:nvSpPr>
      <xdr:spPr>
        <a:xfrm>
          <a:off x="3800475" y="371475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47625</xdr:rowOff>
    </xdr:from>
    <xdr:to>
      <xdr:col>22</xdr:col>
      <xdr:colOff>0</xdr:colOff>
      <xdr:row>43</xdr:row>
      <xdr:rowOff>95250</xdr:rowOff>
    </xdr:to>
    <xdr:sp>
      <xdr:nvSpPr>
        <xdr:cNvPr id="45" name="Line 77"/>
        <xdr:cNvSpPr>
          <a:spLocks/>
        </xdr:cNvSpPr>
      </xdr:nvSpPr>
      <xdr:spPr>
        <a:xfrm>
          <a:off x="4400550" y="351472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42</xdr:row>
      <xdr:rowOff>0</xdr:rowOff>
    </xdr:to>
    <xdr:sp>
      <xdr:nvSpPr>
        <xdr:cNvPr id="46" name="Line 78"/>
        <xdr:cNvSpPr>
          <a:spLocks/>
        </xdr:cNvSpPr>
      </xdr:nvSpPr>
      <xdr:spPr>
        <a:xfrm>
          <a:off x="5000625" y="3714750"/>
          <a:ext cx="0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85725</xdr:rowOff>
    </xdr:from>
    <xdr:to>
      <xdr:col>26</xdr:col>
      <xdr:colOff>0</xdr:colOff>
      <xdr:row>43</xdr:row>
      <xdr:rowOff>38100</xdr:rowOff>
    </xdr:to>
    <xdr:sp>
      <xdr:nvSpPr>
        <xdr:cNvPr id="47" name="Line 79"/>
        <xdr:cNvSpPr>
          <a:spLocks/>
        </xdr:cNvSpPr>
      </xdr:nvSpPr>
      <xdr:spPr>
        <a:xfrm>
          <a:off x="5200650" y="3552825"/>
          <a:ext cx="0" cy="1809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17</xdr:col>
      <xdr:colOff>152400</xdr:colOff>
      <xdr:row>36</xdr:row>
      <xdr:rowOff>0</xdr:rowOff>
    </xdr:from>
    <xdr:to>
      <xdr:col>18</xdr:col>
      <xdr:colOff>28575</xdr:colOff>
      <xdr:row>36</xdr:row>
      <xdr:rowOff>0</xdr:rowOff>
    </xdr:to>
    <xdr:sp>
      <xdr:nvSpPr>
        <xdr:cNvPr id="48" name="Line 80"/>
        <xdr:cNvSpPr>
          <a:spLocks/>
        </xdr:cNvSpPr>
      </xdr:nvSpPr>
      <xdr:spPr>
        <a:xfrm>
          <a:off x="3552825" y="4457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21</xdr:col>
      <xdr:colOff>104775</xdr:colOff>
      <xdr:row>42</xdr:row>
      <xdr:rowOff>0</xdr:rowOff>
    </xdr:to>
    <xdr:sp>
      <xdr:nvSpPr>
        <xdr:cNvPr id="49" name="Line 81"/>
        <xdr:cNvSpPr>
          <a:spLocks/>
        </xdr:cNvSpPr>
      </xdr:nvSpPr>
      <xdr:spPr>
        <a:xfrm>
          <a:off x="3800475" y="5200650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38100</xdr:rowOff>
    </xdr:from>
    <xdr:to>
      <xdr:col>21</xdr:col>
      <xdr:colOff>95250</xdr:colOff>
      <xdr:row>43</xdr:row>
      <xdr:rowOff>38100</xdr:rowOff>
    </xdr:to>
    <xdr:sp>
      <xdr:nvSpPr>
        <xdr:cNvPr id="50" name="Line 82"/>
        <xdr:cNvSpPr>
          <a:spLocks/>
        </xdr:cNvSpPr>
      </xdr:nvSpPr>
      <xdr:spPr>
        <a:xfrm>
          <a:off x="3600450" y="5362575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21</xdr:col>
      <xdr:colOff>76200</xdr:colOff>
      <xdr:row>35</xdr:row>
      <xdr:rowOff>0</xdr:rowOff>
    </xdr:to>
    <xdr:sp>
      <xdr:nvSpPr>
        <xdr:cNvPr id="51" name="Line 83"/>
        <xdr:cNvSpPr>
          <a:spLocks/>
        </xdr:cNvSpPr>
      </xdr:nvSpPr>
      <xdr:spPr>
        <a:xfrm>
          <a:off x="3800475" y="433387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21</xdr:col>
      <xdr:colOff>104775</xdr:colOff>
      <xdr:row>37</xdr:row>
      <xdr:rowOff>0</xdr:rowOff>
    </xdr:to>
    <xdr:sp>
      <xdr:nvSpPr>
        <xdr:cNvPr id="52" name="Line 84"/>
        <xdr:cNvSpPr>
          <a:spLocks/>
        </xdr:cNvSpPr>
      </xdr:nvSpPr>
      <xdr:spPr>
        <a:xfrm>
          <a:off x="3800475" y="4581525"/>
          <a:ext cx="504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21</xdr:col>
      <xdr:colOff>0</xdr:colOff>
      <xdr:row>37</xdr:row>
      <xdr:rowOff>0</xdr:rowOff>
    </xdr:to>
    <xdr:sp>
      <xdr:nvSpPr>
        <xdr:cNvPr id="53" name="Line 85"/>
        <xdr:cNvSpPr>
          <a:spLocks/>
        </xdr:cNvSpPr>
      </xdr:nvSpPr>
      <xdr:spPr>
        <a:xfrm>
          <a:off x="4200525" y="43338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66675</xdr:colOff>
      <xdr:row>28</xdr:row>
      <xdr:rowOff>85725</xdr:rowOff>
    </xdr:from>
    <xdr:to>
      <xdr:col>21</xdr:col>
      <xdr:colOff>123825</xdr:colOff>
      <xdr:row>43</xdr:row>
      <xdr:rowOff>38100</xdr:rowOff>
    </xdr:to>
    <xdr:sp>
      <xdr:nvSpPr>
        <xdr:cNvPr id="54" name="AutoShape 87"/>
        <xdr:cNvSpPr>
          <a:spLocks/>
        </xdr:cNvSpPr>
      </xdr:nvSpPr>
      <xdr:spPr>
        <a:xfrm>
          <a:off x="4267200" y="3552825"/>
          <a:ext cx="57150" cy="1809750"/>
        </a:xfrm>
        <a:custGeom>
          <a:pathLst>
            <a:path h="183" w="6">
              <a:moveTo>
                <a:pt x="3" y="0"/>
              </a:moveTo>
              <a:cubicBezTo>
                <a:pt x="1" y="15"/>
                <a:pt x="0" y="31"/>
                <a:pt x="0" y="53"/>
              </a:cubicBezTo>
              <a:cubicBezTo>
                <a:pt x="0" y="75"/>
                <a:pt x="6" y="110"/>
                <a:pt x="6" y="132"/>
              </a:cubicBezTo>
              <a:cubicBezTo>
                <a:pt x="6" y="154"/>
                <a:pt x="4" y="168"/>
                <a:pt x="3" y="18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85725</xdr:rowOff>
    </xdr:from>
    <xdr:to>
      <xdr:col>21</xdr:col>
      <xdr:colOff>180975</xdr:colOff>
      <xdr:row>43</xdr:row>
      <xdr:rowOff>38100</xdr:rowOff>
    </xdr:to>
    <xdr:sp>
      <xdr:nvSpPr>
        <xdr:cNvPr id="55" name="AutoShape 90"/>
        <xdr:cNvSpPr>
          <a:spLocks/>
        </xdr:cNvSpPr>
      </xdr:nvSpPr>
      <xdr:spPr>
        <a:xfrm>
          <a:off x="4324350" y="3552825"/>
          <a:ext cx="57150" cy="1809750"/>
        </a:xfrm>
        <a:custGeom>
          <a:pathLst>
            <a:path h="183" w="6">
              <a:moveTo>
                <a:pt x="3" y="0"/>
              </a:moveTo>
              <a:cubicBezTo>
                <a:pt x="1" y="15"/>
                <a:pt x="0" y="31"/>
                <a:pt x="0" y="53"/>
              </a:cubicBezTo>
              <a:cubicBezTo>
                <a:pt x="0" y="75"/>
                <a:pt x="6" y="110"/>
                <a:pt x="6" y="132"/>
              </a:cubicBezTo>
              <a:cubicBezTo>
                <a:pt x="6" y="154"/>
                <a:pt x="4" y="168"/>
                <a:pt x="3" y="183"/>
              </a:cubicBez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142875</xdr:colOff>
      <xdr:row>28</xdr:row>
      <xdr:rowOff>85725</xdr:rowOff>
    </xdr:from>
    <xdr:to>
      <xdr:col>26</xdr:col>
      <xdr:colOff>0</xdr:colOff>
      <xdr:row>28</xdr:row>
      <xdr:rowOff>85725</xdr:rowOff>
    </xdr:to>
    <xdr:sp>
      <xdr:nvSpPr>
        <xdr:cNvPr id="56" name="Line 91"/>
        <xdr:cNvSpPr>
          <a:spLocks/>
        </xdr:cNvSpPr>
      </xdr:nvSpPr>
      <xdr:spPr>
        <a:xfrm>
          <a:off x="4343400" y="3552825"/>
          <a:ext cx="857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142875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7" name="Line 93"/>
        <xdr:cNvSpPr>
          <a:spLocks/>
        </xdr:cNvSpPr>
      </xdr:nvSpPr>
      <xdr:spPr>
        <a:xfrm>
          <a:off x="4343400" y="37147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161925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58" name="Line 94"/>
        <xdr:cNvSpPr>
          <a:spLocks/>
        </xdr:cNvSpPr>
      </xdr:nvSpPr>
      <xdr:spPr>
        <a:xfrm>
          <a:off x="4362450" y="5200650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152400</xdr:colOff>
      <xdr:row>43</xdr:row>
      <xdr:rowOff>38100</xdr:rowOff>
    </xdr:from>
    <xdr:to>
      <xdr:col>26</xdr:col>
      <xdr:colOff>0</xdr:colOff>
      <xdr:row>43</xdr:row>
      <xdr:rowOff>38100</xdr:rowOff>
    </xdr:to>
    <xdr:sp>
      <xdr:nvSpPr>
        <xdr:cNvPr id="59" name="Line 95"/>
        <xdr:cNvSpPr>
          <a:spLocks/>
        </xdr:cNvSpPr>
      </xdr:nvSpPr>
      <xdr:spPr>
        <a:xfrm>
          <a:off x="4352925" y="5362575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123825</xdr:colOff>
      <xdr:row>32</xdr:row>
      <xdr:rowOff>95250</xdr:rowOff>
    </xdr:from>
    <xdr:to>
      <xdr:col>25</xdr:col>
      <xdr:colOff>0</xdr:colOff>
      <xdr:row>32</xdr:row>
      <xdr:rowOff>95250</xdr:rowOff>
    </xdr:to>
    <xdr:sp>
      <xdr:nvSpPr>
        <xdr:cNvPr id="60" name="Line 96"/>
        <xdr:cNvSpPr>
          <a:spLocks/>
        </xdr:cNvSpPr>
      </xdr:nvSpPr>
      <xdr:spPr>
        <a:xfrm>
          <a:off x="4324350" y="4057650"/>
          <a:ext cx="67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133350</xdr:colOff>
      <xdr:row>34</xdr:row>
      <xdr:rowOff>57150</xdr:rowOff>
    </xdr:from>
    <xdr:to>
      <xdr:col>25</xdr:col>
      <xdr:colOff>0</xdr:colOff>
      <xdr:row>34</xdr:row>
      <xdr:rowOff>57150</xdr:rowOff>
    </xdr:to>
    <xdr:sp>
      <xdr:nvSpPr>
        <xdr:cNvPr id="61" name="Line 97"/>
        <xdr:cNvSpPr>
          <a:spLocks/>
        </xdr:cNvSpPr>
      </xdr:nvSpPr>
      <xdr:spPr>
        <a:xfrm>
          <a:off x="4333875" y="4267200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180975</xdr:colOff>
      <xdr:row>39</xdr:row>
      <xdr:rowOff>38100</xdr:rowOff>
    </xdr:from>
    <xdr:to>
      <xdr:col>25</xdr:col>
      <xdr:colOff>0</xdr:colOff>
      <xdr:row>39</xdr:row>
      <xdr:rowOff>38100</xdr:rowOff>
    </xdr:to>
    <xdr:sp>
      <xdr:nvSpPr>
        <xdr:cNvPr id="62" name="Line 98"/>
        <xdr:cNvSpPr>
          <a:spLocks/>
        </xdr:cNvSpPr>
      </xdr:nvSpPr>
      <xdr:spPr>
        <a:xfrm>
          <a:off x="4381500" y="4867275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171450</xdr:colOff>
      <xdr:row>37</xdr:row>
      <xdr:rowOff>66675</xdr:rowOff>
    </xdr:from>
    <xdr:to>
      <xdr:col>25</xdr:col>
      <xdr:colOff>0</xdr:colOff>
      <xdr:row>37</xdr:row>
      <xdr:rowOff>66675</xdr:rowOff>
    </xdr:to>
    <xdr:sp>
      <xdr:nvSpPr>
        <xdr:cNvPr id="63" name="Line 99"/>
        <xdr:cNvSpPr>
          <a:spLocks/>
        </xdr:cNvSpPr>
      </xdr:nvSpPr>
      <xdr:spPr>
        <a:xfrm>
          <a:off x="4371975" y="4648200"/>
          <a:ext cx="6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47625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64" name="Line 101"/>
        <xdr:cNvSpPr>
          <a:spLocks/>
        </xdr:cNvSpPr>
      </xdr:nvSpPr>
      <xdr:spPr>
        <a:xfrm>
          <a:off x="4248150" y="4457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66675</xdr:colOff>
      <xdr:row>36</xdr:row>
      <xdr:rowOff>0</xdr:rowOff>
    </xdr:from>
    <xdr:to>
      <xdr:col>26</xdr:col>
      <xdr:colOff>104775</xdr:colOff>
      <xdr:row>36</xdr:row>
      <xdr:rowOff>0</xdr:rowOff>
    </xdr:to>
    <xdr:sp>
      <xdr:nvSpPr>
        <xdr:cNvPr id="65" name="Line 102"/>
        <xdr:cNvSpPr>
          <a:spLocks/>
        </xdr:cNvSpPr>
      </xdr:nvSpPr>
      <xdr:spPr>
        <a:xfrm>
          <a:off x="4867275" y="44577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95250</xdr:colOff>
      <xdr:row>32</xdr:row>
      <xdr:rowOff>95250</xdr:rowOff>
    </xdr:from>
    <xdr:to>
      <xdr:col>24</xdr:col>
      <xdr:colOff>95250</xdr:colOff>
      <xdr:row>34</xdr:row>
      <xdr:rowOff>57150</xdr:rowOff>
    </xdr:to>
    <xdr:sp>
      <xdr:nvSpPr>
        <xdr:cNvPr id="66" name="Line 103"/>
        <xdr:cNvSpPr>
          <a:spLocks/>
        </xdr:cNvSpPr>
      </xdr:nvSpPr>
      <xdr:spPr>
        <a:xfrm>
          <a:off x="4895850" y="40576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21</xdr:col>
      <xdr:colOff>0</xdr:colOff>
      <xdr:row>35</xdr:row>
      <xdr:rowOff>0</xdr:rowOff>
    </xdr:to>
    <xdr:sp>
      <xdr:nvSpPr>
        <xdr:cNvPr id="67" name="Line 104"/>
        <xdr:cNvSpPr>
          <a:spLocks/>
        </xdr:cNvSpPr>
      </xdr:nvSpPr>
      <xdr:spPr>
        <a:xfrm>
          <a:off x="4200525" y="37147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21</xdr:col>
      <xdr:colOff>0</xdr:colOff>
      <xdr:row>42</xdr:row>
      <xdr:rowOff>0</xdr:rowOff>
    </xdr:to>
    <xdr:sp>
      <xdr:nvSpPr>
        <xdr:cNvPr id="68" name="Line 105"/>
        <xdr:cNvSpPr>
          <a:spLocks/>
        </xdr:cNvSpPr>
      </xdr:nvSpPr>
      <xdr:spPr>
        <a:xfrm>
          <a:off x="4200525" y="45815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32</xdr:row>
      <xdr:rowOff>95250</xdr:rowOff>
    </xdr:to>
    <xdr:sp>
      <xdr:nvSpPr>
        <xdr:cNvPr id="69" name="Line 106"/>
        <xdr:cNvSpPr>
          <a:spLocks/>
        </xdr:cNvSpPr>
      </xdr:nvSpPr>
      <xdr:spPr>
        <a:xfrm>
          <a:off x="4800600" y="37147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57150</xdr:rowOff>
    </xdr:from>
    <xdr:to>
      <xdr:col>24</xdr:col>
      <xdr:colOff>0</xdr:colOff>
      <xdr:row>37</xdr:row>
      <xdr:rowOff>66675</xdr:rowOff>
    </xdr:to>
    <xdr:sp>
      <xdr:nvSpPr>
        <xdr:cNvPr id="70" name="Line 107"/>
        <xdr:cNvSpPr>
          <a:spLocks/>
        </xdr:cNvSpPr>
      </xdr:nvSpPr>
      <xdr:spPr>
        <a:xfrm>
          <a:off x="4800600" y="4267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38100</xdr:rowOff>
    </xdr:from>
    <xdr:to>
      <xdr:col>24</xdr:col>
      <xdr:colOff>0</xdr:colOff>
      <xdr:row>42</xdr:row>
      <xdr:rowOff>0</xdr:rowOff>
    </xdr:to>
    <xdr:sp>
      <xdr:nvSpPr>
        <xdr:cNvPr id="71" name="Line 108"/>
        <xdr:cNvSpPr>
          <a:spLocks/>
        </xdr:cNvSpPr>
      </xdr:nvSpPr>
      <xdr:spPr>
        <a:xfrm>
          <a:off x="4800600" y="48672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95250</xdr:colOff>
      <xdr:row>37</xdr:row>
      <xdr:rowOff>66675</xdr:rowOff>
    </xdr:from>
    <xdr:to>
      <xdr:col>24</xdr:col>
      <xdr:colOff>95250</xdr:colOff>
      <xdr:row>39</xdr:row>
      <xdr:rowOff>38100</xdr:rowOff>
    </xdr:to>
    <xdr:sp>
      <xdr:nvSpPr>
        <xdr:cNvPr id="72" name="Line 109"/>
        <xdr:cNvSpPr>
          <a:spLocks/>
        </xdr:cNvSpPr>
      </xdr:nvSpPr>
      <xdr:spPr>
        <a:xfrm flipV="1">
          <a:off x="4895850" y="4648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11</xdr:col>
      <xdr:colOff>0</xdr:colOff>
      <xdr:row>45</xdr:row>
      <xdr:rowOff>57150</xdr:rowOff>
    </xdr:to>
    <xdr:sp>
      <xdr:nvSpPr>
        <xdr:cNvPr id="73" name="Rectangle 110"/>
        <xdr:cNvSpPr>
          <a:spLocks/>
        </xdr:cNvSpPr>
      </xdr:nvSpPr>
      <xdr:spPr>
        <a:xfrm>
          <a:off x="1000125" y="5467350"/>
          <a:ext cx="1200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/>
            <a:t>Unreinforced</a:t>
          </a:r>
        </a:p>
      </xdr:txBody>
    </xdr:sp>
    <xdr:clientData/>
  </xdr:twoCellAnchor>
  <xdr:twoCellAnchor>
    <xdr:from>
      <xdr:col>15</xdr:col>
      <xdr:colOff>0</xdr:colOff>
      <xdr:row>44</xdr:row>
      <xdr:rowOff>19050</xdr:rowOff>
    </xdr:from>
    <xdr:to>
      <xdr:col>22</xdr:col>
      <xdr:colOff>0</xdr:colOff>
      <xdr:row>45</xdr:row>
      <xdr:rowOff>57150</xdr:rowOff>
    </xdr:to>
    <xdr:sp>
      <xdr:nvSpPr>
        <xdr:cNvPr id="74" name="Rectangle 111"/>
        <xdr:cNvSpPr>
          <a:spLocks/>
        </xdr:cNvSpPr>
      </xdr:nvSpPr>
      <xdr:spPr>
        <a:xfrm>
          <a:off x="3000375" y="5467350"/>
          <a:ext cx="1400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/>
            <a:t>Single Plate/Bar Stayed</a:t>
          </a:r>
        </a:p>
      </xdr:txBody>
    </xdr:sp>
    <xdr:clientData/>
  </xdr:twoCellAnchor>
  <xdr:twoCellAnchor>
    <xdr:from>
      <xdr:col>22</xdr:col>
      <xdr:colOff>0</xdr:colOff>
      <xdr:row>44</xdr:row>
      <xdr:rowOff>19050</xdr:rowOff>
    </xdr:from>
    <xdr:to>
      <xdr:col>29</xdr:col>
      <xdr:colOff>38100</xdr:colOff>
      <xdr:row>45</xdr:row>
      <xdr:rowOff>57150</xdr:rowOff>
    </xdr:to>
    <xdr:sp>
      <xdr:nvSpPr>
        <xdr:cNvPr id="75" name="Rectangle 112"/>
        <xdr:cNvSpPr>
          <a:spLocks/>
        </xdr:cNvSpPr>
      </xdr:nvSpPr>
      <xdr:spPr>
        <a:xfrm>
          <a:off x="4400550" y="5467350"/>
          <a:ext cx="1438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/>
            <a:t>Two Plate/Bar Stayed</a:t>
          </a:r>
        </a:p>
      </xdr:txBody>
    </xdr:sp>
    <xdr:clientData/>
  </xdr:twoCellAnchor>
  <xdr:twoCellAnchor>
    <xdr:from>
      <xdr:col>4</xdr:col>
      <xdr:colOff>0</xdr:colOff>
      <xdr:row>24</xdr:row>
      <xdr:rowOff>104775</xdr:rowOff>
    </xdr:from>
    <xdr:to>
      <xdr:col>4</xdr:col>
      <xdr:colOff>0</xdr:colOff>
      <xdr:row>28</xdr:row>
      <xdr:rowOff>28575</xdr:rowOff>
    </xdr:to>
    <xdr:sp>
      <xdr:nvSpPr>
        <xdr:cNvPr id="76" name="Line 113"/>
        <xdr:cNvSpPr>
          <a:spLocks/>
        </xdr:cNvSpPr>
      </xdr:nvSpPr>
      <xdr:spPr>
        <a:xfrm flipV="1">
          <a:off x="800100" y="3076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95250</xdr:rowOff>
    </xdr:from>
    <xdr:to>
      <xdr:col>12</xdr:col>
      <xdr:colOff>0</xdr:colOff>
      <xdr:row>28</xdr:row>
      <xdr:rowOff>19050</xdr:rowOff>
    </xdr:to>
    <xdr:sp>
      <xdr:nvSpPr>
        <xdr:cNvPr id="77" name="Line 114"/>
        <xdr:cNvSpPr>
          <a:spLocks/>
        </xdr:cNvSpPr>
      </xdr:nvSpPr>
      <xdr:spPr>
        <a:xfrm flipV="1">
          <a:off x="2400300" y="3067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27</xdr:row>
      <xdr:rowOff>66675</xdr:rowOff>
    </xdr:from>
    <xdr:to>
      <xdr:col>27</xdr:col>
      <xdr:colOff>190500</xdr:colOff>
      <xdr:row>28</xdr:row>
      <xdr:rowOff>85725</xdr:rowOff>
    </xdr:to>
    <xdr:sp>
      <xdr:nvSpPr>
        <xdr:cNvPr id="78" name="Line 119"/>
        <xdr:cNvSpPr>
          <a:spLocks/>
        </xdr:cNvSpPr>
      </xdr:nvSpPr>
      <xdr:spPr>
        <a:xfrm flipV="1">
          <a:off x="5200650" y="3409950"/>
          <a:ext cx="3905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9525</xdr:rowOff>
    </xdr:from>
    <xdr:to>
      <xdr:col>28</xdr:col>
      <xdr:colOff>0</xdr:colOff>
      <xdr:row>43</xdr:row>
      <xdr:rowOff>28575</xdr:rowOff>
    </xdr:to>
    <xdr:sp>
      <xdr:nvSpPr>
        <xdr:cNvPr id="79" name="Line 120"/>
        <xdr:cNvSpPr>
          <a:spLocks/>
        </xdr:cNvSpPr>
      </xdr:nvSpPr>
      <xdr:spPr>
        <a:xfrm flipV="1">
          <a:off x="5200650" y="5210175"/>
          <a:ext cx="4000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57150</xdr:rowOff>
    </xdr:from>
    <xdr:to>
      <xdr:col>28</xdr:col>
      <xdr:colOff>0</xdr:colOff>
      <xdr:row>42</xdr:row>
      <xdr:rowOff>0</xdr:rowOff>
    </xdr:to>
    <xdr:sp>
      <xdr:nvSpPr>
        <xdr:cNvPr id="80" name="Line 121"/>
        <xdr:cNvSpPr>
          <a:spLocks/>
        </xdr:cNvSpPr>
      </xdr:nvSpPr>
      <xdr:spPr>
        <a:xfrm>
          <a:off x="5600700" y="3400425"/>
          <a:ext cx="0" cy="1800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142875</xdr:colOff>
      <xdr:row>26</xdr:row>
      <xdr:rowOff>57150</xdr:rowOff>
    </xdr:from>
    <xdr:to>
      <xdr:col>28</xdr:col>
      <xdr:colOff>142875</xdr:colOff>
      <xdr:row>42</xdr:row>
      <xdr:rowOff>76200</xdr:rowOff>
    </xdr:to>
    <xdr:sp>
      <xdr:nvSpPr>
        <xdr:cNvPr id="81" name="Line 122"/>
        <xdr:cNvSpPr>
          <a:spLocks/>
        </xdr:cNvSpPr>
      </xdr:nvSpPr>
      <xdr:spPr>
        <a:xfrm>
          <a:off x="5743575" y="3276600"/>
          <a:ext cx="0" cy="2000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57150</xdr:rowOff>
    </xdr:from>
    <xdr:to>
      <xdr:col>28</xdr:col>
      <xdr:colOff>0</xdr:colOff>
      <xdr:row>27</xdr:row>
      <xdr:rowOff>57150</xdr:rowOff>
    </xdr:to>
    <xdr:sp>
      <xdr:nvSpPr>
        <xdr:cNvPr id="82" name="Line 123"/>
        <xdr:cNvSpPr>
          <a:spLocks/>
        </xdr:cNvSpPr>
      </xdr:nvSpPr>
      <xdr:spPr>
        <a:xfrm flipH="1">
          <a:off x="4000500" y="3400425"/>
          <a:ext cx="160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95250</xdr:colOff>
      <xdr:row>26</xdr:row>
      <xdr:rowOff>57150</xdr:rowOff>
    </xdr:from>
    <xdr:to>
      <xdr:col>28</xdr:col>
      <xdr:colOff>152400</xdr:colOff>
      <xdr:row>26</xdr:row>
      <xdr:rowOff>57150</xdr:rowOff>
    </xdr:to>
    <xdr:sp>
      <xdr:nvSpPr>
        <xdr:cNvPr id="83" name="Line 124"/>
        <xdr:cNvSpPr>
          <a:spLocks/>
        </xdr:cNvSpPr>
      </xdr:nvSpPr>
      <xdr:spPr>
        <a:xfrm>
          <a:off x="3895725" y="3276600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76200</xdr:colOff>
      <xdr:row>26</xdr:row>
      <xdr:rowOff>0</xdr:rowOff>
    </xdr:from>
    <xdr:to>
      <xdr:col>29</xdr:col>
      <xdr:colOff>76200</xdr:colOff>
      <xdr:row>42</xdr:row>
      <xdr:rowOff>38100</xdr:rowOff>
    </xdr:to>
    <xdr:sp>
      <xdr:nvSpPr>
        <xdr:cNvPr id="84" name="Line 125"/>
        <xdr:cNvSpPr>
          <a:spLocks/>
        </xdr:cNvSpPr>
      </xdr:nvSpPr>
      <xdr:spPr>
        <a:xfrm>
          <a:off x="5876925" y="3219450"/>
          <a:ext cx="0" cy="2019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0</xdr:rowOff>
    </xdr:from>
    <xdr:to>
      <xdr:col>29</xdr:col>
      <xdr:colOff>76200</xdr:colOff>
      <xdr:row>26</xdr:row>
      <xdr:rowOff>0</xdr:rowOff>
    </xdr:to>
    <xdr:sp>
      <xdr:nvSpPr>
        <xdr:cNvPr id="85" name="Line 126"/>
        <xdr:cNvSpPr>
          <a:spLocks/>
        </xdr:cNvSpPr>
      </xdr:nvSpPr>
      <xdr:spPr>
        <a:xfrm flipH="1">
          <a:off x="4019550" y="3219450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142875</xdr:colOff>
      <xdr:row>26</xdr:row>
      <xdr:rowOff>9525</xdr:rowOff>
    </xdr:from>
    <xdr:to>
      <xdr:col>29</xdr:col>
      <xdr:colOff>66675</xdr:colOff>
      <xdr:row>26</xdr:row>
      <xdr:rowOff>57150</xdr:rowOff>
    </xdr:to>
    <xdr:sp>
      <xdr:nvSpPr>
        <xdr:cNvPr id="86" name="Line 127"/>
        <xdr:cNvSpPr>
          <a:spLocks/>
        </xdr:cNvSpPr>
      </xdr:nvSpPr>
      <xdr:spPr>
        <a:xfrm flipV="1">
          <a:off x="5743575" y="3228975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18</xdr:col>
      <xdr:colOff>28575</xdr:colOff>
      <xdr:row>27</xdr:row>
      <xdr:rowOff>57150</xdr:rowOff>
    </xdr:from>
    <xdr:to>
      <xdr:col>20</xdr:col>
      <xdr:colOff>0</xdr:colOff>
      <xdr:row>28</xdr:row>
      <xdr:rowOff>76200</xdr:rowOff>
    </xdr:to>
    <xdr:sp>
      <xdr:nvSpPr>
        <xdr:cNvPr id="87" name="Line 129"/>
        <xdr:cNvSpPr>
          <a:spLocks/>
        </xdr:cNvSpPr>
      </xdr:nvSpPr>
      <xdr:spPr>
        <a:xfrm flipV="1">
          <a:off x="3629025" y="3400425"/>
          <a:ext cx="3714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85725</xdr:colOff>
      <xdr:row>26</xdr:row>
      <xdr:rowOff>0</xdr:rowOff>
    </xdr:from>
    <xdr:to>
      <xdr:col>20</xdr:col>
      <xdr:colOff>28575</xdr:colOff>
      <xdr:row>26</xdr:row>
      <xdr:rowOff>47625</xdr:rowOff>
    </xdr:to>
    <xdr:sp>
      <xdr:nvSpPr>
        <xdr:cNvPr id="88" name="Line 130"/>
        <xdr:cNvSpPr>
          <a:spLocks/>
        </xdr:cNvSpPr>
      </xdr:nvSpPr>
      <xdr:spPr>
        <a:xfrm flipV="1">
          <a:off x="3886200" y="3219450"/>
          <a:ext cx="1428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19</xdr:col>
      <xdr:colOff>85725</xdr:colOff>
      <xdr:row>26</xdr:row>
      <xdr:rowOff>57150</xdr:rowOff>
    </xdr:from>
    <xdr:to>
      <xdr:col>19</xdr:col>
      <xdr:colOff>85725</xdr:colOff>
      <xdr:row>27</xdr:row>
      <xdr:rowOff>104775</xdr:rowOff>
    </xdr:to>
    <xdr:sp>
      <xdr:nvSpPr>
        <xdr:cNvPr id="89" name="Line 131"/>
        <xdr:cNvSpPr>
          <a:spLocks/>
        </xdr:cNvSpPr>
      </xdr:nvSpPr>
      <xdr:spPr>
        <a:xfrm flipV="1">
          <a:off x="3886200" y="3276600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190500</xdr:colOff>
      <xdr:row>42</xdr:row>
      <xdr:rowOff>85725</xdr:rowOff>
    </xdr:from>
    <xdr:to>
      <xdr:col>28</xdr:col>
      <xdr:colOff>152400</xdr:colOff>
      <xdr:row>42</xdr:row>
      <xdr:rowOff>85725</xdr:rowOff>
    </xdr:to>
    <xdr:sp>
      <xdr:nvSpPr>
        <xdr:cNvPr id="90" name="Line 132"/>
        <xdr:cNvSpPr>
          <a:spLocks/>
        </xdr:cNvSpPr>
      </xdr:nvSpPr>
      <xdr:spPr>
        <a:xfrm flipH="1">
          <a:off x="5391150" y="5286375"/>
          <a:ext cx="36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142875</xdr:colOff>
      <xdr:row>42</xdr:row>
      <xdr:rowOff>38100</xdr:rowOff>
    </xdr:from>
    <xdr:to>
      <xdr:col>29</xdr:col>
      <xdr:colOff>66675</xdr:colOff>
      <xdr:row>42</xdr:row>
      <xdr:rowOff>85725</xdr:rowOff>
    </xdr:to>
    <xdr:sp>
      <xdr:nvSpPr>
        <xdr:cNvPr id="91" name="Line 133"/>
        <xdr:cNvSpPr>
          <a:spLocks/>
        </xdr:cNvSpPr>
      </xdr:nvSpPr>
      <xdr:spPr>
        <a:xfrm flipV="1">
          <a:off x="5743575" y="5238750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22</xdr:col>
      <xdr:colOff>85725</xdr:colOff>
      <xdr:row>25</xdr:row>
      <xdr:rowOff>0</xdr:rowOff>
    </xdr:from>
    <xdr:to>
      <xdr:col>24</xdr:col>
      <xdr:colOff>38100</xdr:colOff>
      <xdr:row>26</xdr:row>
      <xdr:rowOff>0</xdr:rowOff>
    </xdr:to>
    <xdr:sp>
      <xdr:nvSpPr>
        <xdr:cNvPr id="92" name="Line 134"/>
        <xdr:cNvSpPr>
          <a:spLocks/>
        </xdr:cNvSpPr>
      </xdr:nvSpPr>
      <xdr:spPr>
        <a:xfrm flipV="1">
          <a:off x="4486275" y="3095625"/>
          <a:ext cx="3524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76200</xdr:colOff>
      <xdr:row>25</xdr:row>
      <xdr:rowOff>9525</xdr:rowOff>
    </xdr:from>
    <xdr:to>
      <xdr:col>31</xdr:col>
      <xdr:colOff>190500</xdr:colOff>
      <xdr:row>26</xdr:row>
      <xdr:rowOff>76200</xdr:rowOff>
    </xdr:to>
    <xdr:sp>
      <xdr:nvSpPr>
        <xdr:cNvPr id="93" name="Line 135"/>
        <xdr:cNvSpPr>
          <a:spLocks/>
        </xdr:cNvSpPr>
      </xdr:nvSpPr>
      <xdr:spPr>
        <a:xfrm flipV="1">
          <a:off x="5876925" y="3105150"/>
          <a:ext cx="5143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76200</xdr:colOff>
      <xdr:row>39</xdr:row>
      <xdr:rowOff>76200</xdr:rowOff>
    </xdr:from>
    <xdr:to>
      <xdr:col>32</xdr:col>
      <xdr:colOff>0</xdr:colOff>
      <xdr:row>41</xdr:row>
      <xdr:rowOff>28575</xdr:rowOff>
    </xdr:to>
    <xdr:sp>
      <xdr:nvSpPr>
        <xdr:cNvPr id="94" name="Line 136"/>
        <xdr:cNvSpPr>
          <a:spLocks/>
        </xdr:cNvSpPr>
      </xdr:nvSpPr>
      <xdr:spPr>
        <a:xfrm flipV="1">
          <a:off x="5876925" y="4905375"/>
          <a:ext cx="5238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39</xdr:row>
      <xdr:rowOff>66675</xdr:rowOff>
    </xdr:to>
    <xdr:sp>
      <xdr:nvSpPr>
        <xdr:cNvPr id="95" name="Line 162"/>
        <xdr:cNvSpPr>
          <a:spLocks/>
        </xdr:cNvSpPr>
      </xdr:nvSpPr>
      <xdr:spPr>
        <a:xfrm>
          <a:off x="6400800" y="3095625"/>
          <a:ext cx="0" cy="1800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142875</xdr:colOff>
      <xdr:row>24</xdr:row>
      <xdr:rowOff>0</xdr:rowOff>
    </xdr:from>
    <xdr:to>
      <xdr:col>32</xdr:col>
      <xdr:colOff>142875</xdr:colOff>
      <xdr:row>40</xdr:row>
      <xdr:rowOff>19050</xdr:rowOff>
    </xdr:to>
    <xdr:sp>
      <xdr:nvSpPr>
        <xdr:cNvPr id="96" name="Line 163"/>
        <xdr:cNvSpPr>
          <a:spLocks/>
        </xdr:cNvSpPr>
      </xdr:nvSpPr>
      <xdr:spPr>
        <a:xfrm>
          <a:off x="6543675" y="2971800"/>
          <a:ext cx="0" cy="2000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28575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97" name="Line 164"/>
        <xdr:cNvSpPr>
          <a:spLocks/>
        </xdr:cNvSpPr>
      </xdr:nvSpPr>
      <xdr:spPr>
        <a:xfrm flipH="1">
          <a:off x="4829175" y="3095625"/>
          <a:ext cx="1571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24</xdr:row>
      <xdr:rowOff>0</xdr:rowOff>
    </xdr:from>
    <xdr:to>
      <xdr:col>32</xdr:col>
      <xdr:colOff>152400</xdr:colOff>
      <xdr:row>24</xdr:row>
      <xdr:rowOff>0</xdr:rowOff>
    </xdr:to>
    <xdr:sp>
      <xdr:nvSpPr>
        <xdr:cNvPr id="98" name="Line 165"/>
        <xdr:cNvSpPr>
          <a:spLocks/>
        </xdr:cNvSpPr>
      </xdr:nvSpPr>
      <xdr:spPr>
        <a:xfrm>
          <a:off x="4695825" y="2971800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76200</xdr:colOff>
      <xdr:row>23</xdr:row>
      <xdr:rowOff>66675</xdr:rowOff>
    </xdr:from>
    <xdr:to>
      <xdr:col>33</xdr:col>
      <xdr:colOff>76200</xdr:colOff>
      <xdr:row>39</xdr:row>
      <xdr:rowOff>104775</xdr:rowOff>
    </xdr:to>
    <xdr:sp>
      <xdr:nvSpPr>
        <xdr:cNvPr id="99" name="Line 166"/>
        <xdr:cNvSpPr>
          <a:spLocks/>
        </xdr:cNvSpPr>
      </xdr:nvSpPr>
      <xdr:spPr>
        <a:xfrm>
          <a:off x="6677025" y="2914650"/>
          <a:ext cx="0" cy="2019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66675</xdr:rowOff>
    </xdr:from>
    <xdr:to>
      <xdr:col>33</xdr:col>
      <xdr:colOff>76200</xdr:colOff>
      <xdr:row>23</xdr:row>
      <xdr:rowOff>66675</xdr:rowOff>
    </xdr:to>
    <xdr:sp>
      <xdr:nvSpPr>
        <xdr:cNvPr id="100" name="Line 167"/>
        <xdr:cNvSpPr>
          <a:spLocks/>
        </xdr:cNvSpPr>
      </xdr:nvSpPr>
      <xdr:spPr>
        <a:xfrm flipH="1">
          <a:off x="4819650" y="2914650"/>
          <a:ext cx="185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142875</xdr:colOff>
      <xdr:row>23</xdr:row>
      <xdr:rowOff>76200</xdr:rowOff>
    </xdr:from>
    <xdr:to>
      <xdr:col>33</xdr:col>
      <xdr:colOff>66675</xdr:colOff>
      <xdr:row>24</xdr:row>
      <xdr:rowOff>0</xdr:rowOff>
    </xdr:to>
    <xdr:sp>
      <xdr:nvSpPr>
        <xdr:cNvPr id="101" name="Line 168"/>
        <xdr:cNvSpPr>
          <a:spLocks/>
        </xdr:cNvSpPr>
      </xdr:nvSpPr>
      <xdr:spPr>
        <a:xfrm flipV="1">
          <a:off x="6543675" y="2924175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85725</xdr:colOff>
      <xdr:row>23</xdr:row>
      <xdr:rowOff>66675</xdr:rowOff>
    </xdr:from>
    <xdr:to>
      <xdr:col>24</xdr:col>
      <xdr:colOff>28575</xdr:colOff>
      <xdr:row>23</xdr:row>
      <xdr:rowOff>114300</xdr:rowOff>
    </xdr:to>
    <xdr:sp>
      <xdr:nvSpPr>
        <xdr:cNvPr id="102" name="Line 169"/>
        <xdr:cNvSpPr>
          <a:spLocks/>
        </xdr:cNvSpPr>
      </xdr:nvSpPr>
      <xdr:spPr>
        <a:xfrm flipV="1">
          <a:off x="4686300" y="2914650"/>
          <a:ext cx="1428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85725</xdr:colOff>
      <xdr:row>24</xdr:row>
      <xdr:rowOff>0</xdr:rowOff>
    </xdr:from>
    <xdr:to>
      <xdr:col>23</xdr:col>
      <xdr:colOff>85725</xdr:colOff>
      <xdr:row>25</xdr:row>
      <xdr:rowOff>47625</xdr:rowOff>
    </xdr:to>
    <xdr:sp>
      <xdr:nvSpPr>
        <xdr:cNvPr id="103" name="Line 170"/>
        <xdr:cNvSpPr>
          <a:spLocks/>
        </xdr:cNvSpPr>
      </xdr:nvSpPr>
      <xdr:spPr>
        <a:xfrm flipV="1">
          <a:off x="4686300" y="2971800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31</xdr:col>
      <xdr:colOff>0</xdr:colOff>
      <xdr:row>40</xdr:row>
      <xdr:rowOff>28575</xdr:rowOff>
    </xdr:from>
    <xdr:to>
      <xdr:col>32</xdr:col>
      <xdr:colOff>152400</xdr:colOff>
      <xdr:row>40</xdr:row>
      <xdr:rowOff>28575</xdr:rowOff>
    </xdr:to>
    <xdr:sp>
      <xdr:nvSpPr>
        <xdr:cNvPr id="104" name="Line 171"/>
        <xdr:cNvSpPr>
          <a:spLocks/>
        </xdr:cNvSpPr>
      </xdr:nvSpPr>
      <xdr:spPr>
        <a:xfrm flipH="1">
          <a:off x="6200775" y="4981575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32</xdr:col>
      <xdr:colOff>142875</xdr:colOff>
      <xdr:row>39</xdr:row>
      <xdr:rowOff>104775</xdr:rowOff>
    </xdr:from>
    <xdr:to>
      <xdr:col>33</xdr:col>
      <xdr:colOff>66675</xdr:colOff>
      <xdr:row>40</xdr:row>
      <xdr:rowOff>28575</xdr:rowOff>
    </xdr:to>
    <xdr:sp>
      <xdr:nvSpPr>
        <xdr:cNvPr id="105" name="Line 172"/>
        <xdr:cNvSpPr>
          <a:spLocks/>
        </xdr:cNvSpPr>
      </xdr:nvSpPr>
      <xdr:spPr>
        <a:xfrm flipV="1">
          <a:off x="6543675" y="4933950"/>
          <a:ext cx="1238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25</xdr:col>
      <xdr:colOff>95250</xdr:colOff>
      <xdr:row>34</xdr:row>
      <xdr:rowOff>76200</xdr:rowOff>
    </xdr:from>
    <xdr:to>
      <xdr:col>28</xdr:col>
      <xdr:colOff>47625</xdr:colOff>
      <xdr:row>36</xdr:row>
      <xdr:rowOff>38100</xdr:rowOff>
    </xdr:to>
    <xdr:sp>
      <xdr:nvSpPr>
        <xdr:cNvPr id="106" name="Line 176"/>
        <xdr:cNvSpPr>
          <a:spLocks/>
        </xdr:cNvSpPr>
      </xdr:nvSpPr>
      <xdr:spPr>
        <a:xfrm flipV="1">
          <a:off x="5095875" y="4286250"/>
          <a:ext cx="5524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190500</xdr:colOff>
      <xdr:row>32</xdr:row>
      <xdr:rowOff>85725</xdr:rowOff>
    </xdr:from>
    <xdr:to>
      <xdr:col>32</xdr:col>
      <xdr:colOff>190500</xdr:colOff>
      <xdr:row>35</xdr:row>
      <xdr:rowOff>9525</xdr:rowOff>
    </xdr:to>
    <xdr:sp>
      <xdr:nvSpPr>
        <xdr:cNvPr id="107" name="Line 177"/>
        <xdr:cNvSpPr>
          <a:spLocks/>
        </xdr:cNvSpPr>
      </xdr:nvSpPr>
      <xdr:spPr>
        <a:xfrm flipV="1">
          <a:off x="5791200" y="4048125"/>
          <a:ext cx="800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9525</xdr:rowOff>
    </xdr:from>
    <xdr:to>
      <xdr:col>29</xdr:col>
      <xdr:colOff>0</xdr:colOff>
      <xdr:row>35</xdr:row>
      <xdr:rowOff>114300</xdr:rowOff>
    </xdr:to>
    <xdr:sp>
      <xdr:nvSpPr>
        <xdr:cNvPr id="108" name="Line 178"/>
        <xdr:cNvSpPr>
          <a:spLocks/>
        </xdr:cNvSpPr>
      </xdr:nvSpPr>
      <xdr:spPr>
        <a:xfrm>
          <a:off x="5800725" y="42195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104775</xdr:rowOff>
    </xdr:from>
    <xdr:to>
      <xdr:col>33</xdr:col>
      <xdr:colOff>0</xdr:colOff>
      <xdr:row>33</xdr:row>
      <xdr:rowOff>85725</xdr:rowOff>
    </xdr:to>
    <xdr:sp>
      <xdr:nvSpPr>
        <xdr:cNvPr id="109" name="Line 179"/>
        <xdr:cNvSpPr>
          <a:spLocks/>
        </xdr:cNvSpPr>
      </xdr:nvSpPr>
      <xdr:spPr>
        <a:xfrm>
          <a:off x="6600825" y="3943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29</xdr:col>
      <xdr:colOff>76200</xdr:colOff>
      <xdr:row>35</xdr:row>
      <xdr:rowOff>0</xdr:rowOff>
    </xdr:from>
    <xdr:to>
      <xdr:col>33</xdr:col>
      <xdr:colOff>76200</xdr:colOff>
      <xdr:row>36</xdr:row>
      <xdr:rowOff>0</xdr:rowOff>
    </xdr:to>
    <xdr:sp>
      <xdr:nvSpPr>
        <xdr:cNvPr id="110" name="Rectangle 180"/>
        <xdr:cNvSpPr>
          <a:spLocks/>
        </xdr:cNvSpPr>
      </xdr:nvSpPr>
      <xdr:spPr>
        <a:xfrm>
          <a:off x="5876925" y="4333875"/>
          <a:ext cx="8001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Pitch Distance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32</xdr:col>
      <xdr:colOff>0</xdr:colOff>
      <xdr:row>31</xdr:row>
      <xdr:rowOff>0</xdr:rowOff>
    </xdr:to>
    <xdr:sp>
      <xdr:nvSpPr>
        <xdr:cNvPr id="111" name="Rectangle 181"/>
        <xdr:cNvSpPr>
          <a:spLocks/>
        </xdr:cNvSpPr>
      </xdr:nvSpPr>
      <xdr:spPr>
        <a:xfrm>
          <a:off x="5200650" y="3714750"/>
          <a:ext cx="1200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sng" baseline="0"/>
            <a:t>Reinforcing Member</a:t>
          </a:r>
        </a:p>
      </xdr:txBody>
    </xdr:sp>
    <xdr:clientData/>
  </xdr:twoCellAnchor>
  <xdr:twoCellAnchor editAs="oneCell">
    <xdr:from>
      <xdr:col>28</xdr:col>
      <xdr:colOff>0</xdr:colOff>
      <xdr:row>14</xdr:row>
      <xdr:rowOff>0</xdr:rowOff>
    </xdr:from>
    <xdr:to>
      <xdr:col>31</xdr:col>
      <xdr:colOff>114300</xdr:colOff>
      <xdr:row>15</xdr:row>
      <xdr:rowOff>28575</xdr:rowOff>
    </xdr:to>
    <xdr:pic>
      <xdr:nvPicPr>
        <xdr:cNvPr id="112" name="ComboBox7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1733550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0</xdr:colOff>
      <xdr:row>15</xdr:row>
      <xdr:rowOff>0</xdr:rowOff>
    </xdr:from>
    <xdr:to>
      <xdr:col>33</xdr:col>
      <xdr:colOff>190500</xdr:colOff>
      <xdr:row>16</xdr:row>
      <xdr:rowOff>28575</xdr:rowOff>
    </xdr:to>
    <xdr:pic>
      <xdr:nvPicPr>
        <xdr:cNvPr id="113" name="ComboBox7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857375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0</xdr:colOff>
      <xdr:row>10</xdr:row>
      <xdr:rowOff>0</xdr:rowOff>
    </xdr:from>
    <xdr:to>
      <xdr:col>31</xdr:col>
      <xdr:colOff>0</xdr:colOff>
      <xdr:row>11</xdr:row>
      <xdr:rowOff>19050</xdr:rowOff>
    </xdr:to>
    <xdr:pic>
      <xdr:nvPicPr>
        <xdr:cNvPr id="114" name="ComboBox7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1238250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28</xdr:col>
      <xdr:colOff>0</xdr:colOff>
      <xdr:row>11</xdr:row>
      <xdr:rowOff>0</xdr:rowOff>
    </xdr:from>
    <xdr:to>
      <xdr:col>32</xdr:col>
      <xdr:colOff>0</xdr:colOff>
      <xdr:row>12</xdr:row>
      <xdr:rowOff>19050</xdr:rowOff>
    </xdr:to>
    <xdr:pic>
      <xdr:nvPicPr>
        <xdr:cNvPr id="115" name="ComboBox7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0700" y="1362075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22</xdr:col>
      <xdr:colOff>0</xdr:colOff>
      <xdr:row>24</xdr:row>
      <xdr:rowOff>0</xdr:rowOff>
    </xdr:from>
    <xdr:to>
      <xdr:col>23</xdr:col>
      <xdr:colOff>9525</xdr:colOff>
      <xdr:row>24</xdr:row>
      <xdr:rowOff>66675</xdr:rowOff>
    </xdr:to>
    <xdr:sp>
      <xdr:nvSpPr>
        <xdr:cNvPr id="116" name="Line 188"/>
        <xdr:cNvSpPr>
          <a:spLocks/>
        </xdr:cNvSpPr>
      </xdr:nvSpPr>
      <xdr:spPr>
        <a:xfrm>
          <a:off x="4400550" y="2971800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23</xdr:row>
      <xdr:rowOff>0</xdr:rowOff>
    </xdr:to>
    <xdr:sp>
      <xdr:nvSpPr>
        <xdr:cNvPr id="117" name="Line 189"/>
        <xdr:cNvSpPr>
          <a:spLocks/>
        </xdr:cNvSpPr>
      </xdr:nvSpPr>
      <xdr:spPr>
        <a:xfrm>
          <a:off x="5000625" y="2600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20</xdr:col>
      <xdr:colOff>114300</xdr:colOff>
      <xdr:row>20</xdr:row>
      <xdr:rowOff>28575</xdr:rowOff>
    </xdr:to>
    <xdr:pic>
      <xdr:nvPicPr>
        <xdr:cNvPr id="118" name="ComboBox7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0425" y="2352675"/>
          <a:ext cx="7143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20</xdr:row>
      <xdr:rowOff>0</xdr:rowOff>
    </xdr:from>
    <xdr:to>
      <xdr:col>22</xdr:col>
      <xdr:colOff>190500</xdr:colOff>
      <xdr:row>21</xdr:row>
      <xdr:rowOff>28575</xdr:rowOff>
    </xdr:to>
    <xdr:pic>
      <xdr:nvPicPr>
        <xdr:cNvPr id="119" name="ComboBox7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00425" y="2476500"/>
          <a:ext cx="11906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30</xdr:col>
      <xdr:colOff>171450</xdr:colOff>
      <xdr:row>33</xdr:row>
      <xdr:rowOff>95250</xdr:rowOff>
    </xdr:from>
    <xdr:to>
      <xdr:col>31</xdr:col>
      <xdr:colOff>171450</xdr:colOff>
      <xdr:row>34</xdr:row>
      <xdr:rowOff>114300</xdr:rowOff>
    </xdr:to>
    <xdr:sp>
      <xdr:nvSpPr>
        <xdr:cNvPr id="120" name="Rectangle 192"/>
        <xdr:cNvSpPr>
          <a:spLocks/>
        </xdr:cNvSpPr>
      </xdr:nvSpPr>
      <xdr:spPr>
        <a:xfrm>
          <a:off x="6172200" y="4181475"/>
          <a:ext cx="200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p</a:t>
          </a:r>
        </a:p>
      </xdr:txBody>
    </xdr:sp>
    <xdr:clientData/>
  </xdr:twoCellAnchor>
  <xdr:twoCellAnchor editAs="oneCell">
    <xdr:from>
      <xdr:col>18</xdr:col>
      <xdr:colOff>0</xdr:colOff>
      <xdr:row>47</xdr:row>
      <xdr:rowOff>0</xdr:rowOff>
    </xdr:from>
    <xdr:to>
      <xdr:col>22</xdr:col>
      <xdr:colOff>0</xdr:colOff>
      <xdr:row>48</xdr:row>
      <xdr:rowOff>19050</xdr:rowOff>
    </xdr:to>
    <xdr:pic>
      <xdr:nvPicPr>
        <xdr:cNvPr id="121" name="ComboBox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0450" y="5819775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0</xdr:colOff>
      <xdr:row>47</xdr:row>
      <xdr:rowOff>0</xdr:rowOff>
    </xdr:from>
    <xdr:to>
      <xdr:col>26</xdr:col>
      <xdr:colOff>0</xdr:colOff>
      <xdr:row>48</xdr:row>
      <xdr:rowOff>19050</xdr:rowOff>
    </xdr:to>
    <xdr:pic>
      <xdr:nvPicPr>
        <xdr:cNvPr id="122" name="ComboBox1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00550" y="5819775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14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0200" y="1857375"/>
          <a:ext cx="12001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2105025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14</xdr:col>
      <xdr:colOff>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600200" y="2228850"/>
          <a:ext cx="120015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2800350" y="1857375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66675</xdr:rowOff>
    </xdr:from>
    <xdr:to>
      <xdr:col>8</xdr:col>
      <xdr:colOff>0</xdr:colOff>
      <xdr:row>17</xdr:row>
      <xdr:rowOff>95250</xdr:rowOff>
    </xdr:to>
    <xdr:sp>
      <xdr:nvSpPr>
        <xdr:cNvPr id="5" name="Line 10"/>
        <xdr:cNvSpPr>
          <a:spLocks/>
        </xdr:cNvSpPr>
      </xdr:nvSpPr>
      <xdr:spPr>
        <a:xfrm flipV="1">
          <a:off x="1466850" y="2171700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85725</xdr:rowOff>
    </xdr:from>
    <xdr:to>
      <xdr:col>9</xdr:col>
      <xdr:colOff>0</xdr:colOff>
      <xdr:row>20</xdr:row>
      <xdr:rowOff>85725</xdr:rowOff>
    </xdr:to>
    <xdr:sp>
      <xdr:nvSpPr>
        <xdr:cNvPr id="6" name="Line 11"/>
        <xdr:cNvSpPr>
          <a:spLocks/>
        </xdr:cNvSpPr>
      </xdr:nvSpPr>
      <xdr:spPr>
        <a:xfrm flipV="1">
          <a:off x="1800225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38100</xdr:rowOff>
    </xdr:from>
    <xdr:to>
      <xdr:col>13</xdr:col>
      <xdr:colOff>0</xdr:colOff>
      <xdr:row>19</xdr:row>
      <xdr:rowOff>38100</xdr:rowOff>
    </xdr:to>
    <xdr:sp>
      <xdr:nvSpPr>
        <xdr:cNvPr id="7" name="Line 12"/>
        <xdr:cNvSpPr>
          <a:spLocks/>
        </xdr:cNvSpPr>
      </xdr:nvSpPr>
      <xdr:spPr>
        <a:xfrm flipV="1">
          <a:off x="2600325" y="2266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38100</xdr:rowOff>
    </xdr:from>
    <xdr:to>
      <xdr:col>14</xdr:col>
      <xdr:colOff>133350</xdr:colOff>
      <xdr:row>15</xdr:row>
      <xdr:rowOff>66675</xdr:rowOff>
    </xdr:to>
    <xdr:sp>
      <xdr:nvSpPr>
        <xdr:cNvPr id="8" name="Line 13"/>
        <xdr:cNvSpPr>
          <a:spLocks/>
        </xdr:cNvSpPr>
      </xdr:nvSpPr>
      <xdr:spPr>
        <a:xfrm flipH="1">
          <a:off x="2800350" y="18954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47625</xdr:rowOff>
    </xdr:from>
    <xdr:to>
      <xdr:col>10</xdr:col>
      <xdr:colOff>0</xdr:colOff>
      <xdr:row>20</xdr:row>
      <xdr:rowOff>47625</xdr:rowOff>
    </xdr:to>
    <xdr:sp>
      <xdr:nvSpPr>
        <xdr:cNvPr id="9" name="Line 15"/>
        <xdr:cNvSpPr>
          <a:spLocks/>
        </xdr:cNvSpPr>
      </xdr:nvSpPr>
      <xdr:spPr>
        <a:xfrm flipV="1">
          <a:off x="2000250" y="2400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85725</xdr:rowOff>
    </xdr:from>
    <xdr:to>
      <xdr:col>12</xdr:col>
      <xdr:colOff>0</xdr:colOff>
      <xdr:row>19</xdr:row>
      <xdr:rowOff>85725</xdr:rowOff>
    </xdr:to>
    <xdr:sp>
      <xdr:nvSpPr>
        <xdr:cNvPr id="10" name="Line 16"/>
        <xdr:cNvSpPr>
          <a:spLocks/>
        </xdr:cNvSpPr>
      </xdr:nvSpPr>
      <xdr:spPr>
        <a:xfrm flipV="1">
          <a:off x="2400300" y="2314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38100</xdr:rowOff>
    </xdr:from>
    <xdr:to>
      <xdr:col>13</xdr:col>
      <xdr:colOff>0</xdr:colOff>
      <xdr:row>15</xdr:row>
      <xdr:rowOff>38100</xdr:rowOff>
    </xdr:to>
    <xdr:sp>
      <xdr:nvSpPr>
        <xdr:cNvPr id="11" name="Line 19"/>
        <xdr:cNvSpPr>
          <a:spLocks/>
        </xdr:cNvSpPr>
      </xdr:nvSpPr>
      <xdr:spPr>
        <a:xfrm>
          <a:off x="2600325" y="17716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8</xdr:col>
      <xdr:colOff>0</xdr:colOff>
      <xdr:row>18</xdr:row>
      <xdr:rowOff>85725</xdr:rowOff>
    </xdr:to>
    <xdr:sp>
      <xdr:nvSpPr>
        <xdr:cNvPr id="12" name="Line 20"/>
        <xdr:cNvSpPr>
          <a:spLocks/>
        </xdr:cNvSpPr>
      </xdr:nvSpPr>
      <xdr:spPr>
        <a:xfrm flipV="1">
          <a:off x="1466850" y="2286000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133350</xdr:colOff>
      <xdr:row>17</xdr:row>
      <xdr:rowOff>47625</xdr:rowOff>
    </xdr:to>
    <xdr:sp>
      <xdr:nvSpPr>
        <xdr:cNvPr id="13" name="Line 21"/>
        <xdr:cNvSpPr>
          <a:spLocks/>
        </xdr:cNvSpPr>
      </xdr:nvSpPr>
      <xdr:spPr>
        <a:xfrm flipH="1">
          <a:off x="2800350" y="21240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14" name="Line 27"/>
        <xdr:cNvSpPr>
          <a:spLocks/>
        </xdr:cNvSpPr>
      </xdr:nvSpPr>
      <xdr:spPr>
        <a:xfrm flipV="1">
          <a:off x="2200275" y="23526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38100</xdr:rowOff>
    </xdr:from>
    <xdr:to>
      <xdr:col>10</xdr:col>
      <xdr:colOff>0</xdr:colOff>
      <xdr:row>16</xdr:row>
      <xdr:rowOff>38100</xdr:rowOff>
    </xdr:to>
    <xdr:sp>
      <xdr:nvSpPr>
        <xdr:cNvPr id="15" name="Line 29"/>
        <xdr:cNvSpPr>
          <a:spLocks/>
        </xdr:cNvSpPr>
      </xdr:nvSpPr>
      <xdr:spPr>
        <a:xfrm>
          <a:off x="2000250" y="18954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76200</xdr:rowOff>
    </xdr:from>
    <xdr:to>
      <xdr:col>12</xdr:col>
      <xdr:colOff>0</xdr:colOff>
      <xdr:row>15</xdr:row>
      <xdr:rowOff>76200</xdr:rowOff>
    </xdr:to>
    <xdr:sp>
      <xdr:nvSpPr>
        <xdr:cNvPr id="16" name="Line 30"/>
        <xdr:cNvSpPr>
          <a:spLocks/>
        </xdr:cNvSpPr>
      </xdr:nvSpPr>
      <xdr:spPr>
        <a:xfrm>
          <a:off x="2400300" y="18097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57150</xdr:rowOff>
    </xdr:from>
    <xdr:to>
      <xdr:col>8</xdr:col>
      <xdr:colOff>0</xdr:colOff>
      <xdr:row>19</xdr:row>
      <xdr:rowOff>85725</xdr:rowOff>
    </xdr:to>
    <xdr:sp>
      <xdr:nvSpPr>
        <xdr:cNvPr id="17" name="Line 31"/>
        <xdr:cNvSpPr>
          <a:spLocks/>
        </xdr:cNvSpPr>
      </xdr:nvSpPr>
      <xdr:spPr>
        <a:xfrm flipV="1">
          <a:off x="1466850" y="240982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28575</xdr:rowOff>
    </xdr:from>
    <xdr:to>
      <xdr:col>14</xdr:col>
      <xdr:colOff>133350</xdr:colOff>
      <xdr:row>16</xdr:row>
      <xdr:rowOff>57150</xdr:rowOff>
    </xdr:to>
    <xdr:sp>
      <xdr:nvSpPr>
        <xdr:cNvPr id="18" name="Line 32"/>
        <xdr:cNvSpPr>
          <a:spLocks/>
        </xdr:cNvSpPr>
      </xdr:nvSpPr>
      <xdr:spPr>
        <a:xfrm flipH="1">
          <a:off x="2800350" y="2009775"/>
          <a:ext cx="1333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76200</xdr:rowOff>
    </xdr:from>
    <xdr:to>
      <xdr:col>9</xdr:col>
      <xdr:colOff>0</xdr:colOff>
      <xdr:row>16</xdr:row>
      <xdr:rowOff>76200</xdr:rowOff>
    </xdr:to>
    <xdr:sp>
      <xdr:nvSpPr>
        <xdr:cNvPr id="19" name="Line 33"/>
        <xdr:cNvSpPr>
          <a:spLocks/>
        </xdr:cNvSpPr>
      </xdr:nvSpPr>
      <xdr:spPr>
        <a:xfrm>
          <a:off x="1800225" y="1933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>
      <xdr:nvSpPr>
        <xdr:cNvPr id="20" name="Line 34"/>
        <xdr:cNvSpPr>
          <a:spLocks/>
        </xdr:cNvSpPr>
      </xdr:nvSpPr>
      <xdr:spPr>
        <a:xfrm>
          <a:off x="2200275" y="1857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76200</xdr:colOff>
      <xdr:row>14</xdr:row>
      <xdr:rowOff>57150</xdr:rowOff>
    </xdr:from>
    <xdr:to>
      <xdr:col>15</xdr:col>
      <xdr:colOff>142875</xdr:colOff>
      <xdr:row>14</xdr:row>
      <xdr:rowOff>104775</xdr:rowOff>
    </xdr:to>
    <xdr:sp>
      <xdr:nvSpPr>
        <xdr:cNvPr id="21" name="Line 37"/>
        <xdr:cNvSpPr>
          <a:spLocks/>
        </xdr:cNvSpPr>
      </xdr:nvSpPr>
      <xdr:spPr>
        <a:xfrm flipV="1">
          <a:off x="2876550" y="1790700"/>
          <a:ext cx="266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66675</xdr:colOff>
      <xdr:row>17</xdr:row>
      <xdr:rowOff>47625</xdr:rowOff>
    </xdr:from>
    <xdr:to>
      <xdr:col>15</xdr:col>
      <xdr:colOff>152400</xdr:colOff>
      <xdr:row>17</xdr:row>
      <xdr:rowOff>104775</xdr:rowOff>
    </xdr:to>
    <xdr:sp>
      <xdr:nvSpPr>
        <xdr:cNvPr id="22" name="Line 38"/>
        <xdr:cNvSpPr>
          <a:spLocks/>
        </xdr:cNvSpPr>
      </xdr:nvSpPr>
      <xdr:spPr>
        <a:xfrm flipH="1">
          <a:off x="2867025" y="2152650"/>
          <a:ext cx="2857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57150</xdr:rowOff>
    </xdr:from>
    <xdr:to>
      <xdr:col>8</xdr:col>
      <xdr:colOff>0</xdr:colOff>
      <xdr:row>22</xdr:row>
      <xdr:rowOff>0</xdr:rowOff>
    </xdr:to>
    <xdr:sp>
      <xdr:nvSpPr>
        <xdr:cNvPr id="23" name="Line 39"/>
        <xdr:cNvSpPr>
          <a:spLocks/>
        </xdr:cNvSpPr>
      </xdr:nvSpPr>
      <xdr:spPr>
        <a:xfrm>
          <a:off x="1600200" y="2533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57150</xdr:rowOff>
    </xdr:from>
    <xdr:to>
      <xdr:col>14</xdr:col>
      <xdr:colOff>0</xdr:colOff>
      <xdr:row>20</xdr:row>
      <xdr:rowOff>0</xdr:rowOff>
    </xdr:to>
    <xdr:sp>
      <xdr:nvSpPr>
        <xdr:cNvPr id="24" name="Line 40"/>
        <xdr:cNvSpPr>
          <a:spLocks/>
        </xdr:cNvSpPr>
      </xdr:nvSpPr>
      <xdr:spPr>
        <a:xfrm>
          <a:off x="2800350" y="2286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76200</xdr:rowOff>
    </xdr:from>
    <xdr:to>
      <xdr:col>14</xdr:col>
      <xdr:colOff>0</xdr:colOff>
      <xdr:row>21</xdr:row>
      <xdr:rowOff>76200</xdr:rowOff>
    </xdr:to>
    <xdr:sp>
      <xdr:nvSpPr>
        <xdr:cNvPr id="25" name="Line 41"/>
        <xdr:cNvSpPr>
          <a:spLocks/>
        </xdr:cNvSpPr>
      </xdr:nvSpPr>
      <xdr:spPr>
        <a:xfrm flipV="1">
          <a:off x="1600200" y="2428875"/>
          <a:ext cx="1200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76200</xdr:colOff>
      <xdr:row>14</xdr:row>
      <xdr:rowOff>66675</xdr:rowOff>
    </xdr:from>
    <xdr:to>
      <xdr:col>15</xdr:col>
      <xdr:colOff>76200</xdr:colOff>
      <xdr:row>17</xdr:row>
      <xdr:rowOff>76200</xdr:rowOff>
    </xdr:to>
    <xdr:sp>
      <xdr:nvSpPr>
        <xdr:cNvPr id="26" name="Line 43"/>
        <xdr:cNvSpPr>
          <a:spLocks/>
        </xdr:cNvSpPr>
      </xdr:nvSpPr>
      <xdr:spPr>
        <a:xfrm>
          <a:off x="3076575" y="18002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104775</xdr:rowOff>
    </xdr:from>
    <xdr:to>
      <xdr:col>13</xdr:col>
      <xdr:colOff>0</xdr:colOff>
      <xdr:row>14</xdr:row>
      <xdr:rowOff>0</xdr:rowOff>
    </xdr:to>
    <xdr:sp>
      <xdr:nvSpPr>
        <xdr:cNvPr id="27" name="Rectangle 44"/>
        <xdr:cNvSpPr>
          <a:spLocks/>
        </xdr:cNvSpPr>
      </xdr:nvSpPr>
      <xdr:spPr>
        <a:xfrm>
          <a:off x="1800225" y="159067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SmB  or  ScrB</a:t>
          </a:r>
        </a:p>
      </xdr:txBody>
    </xdr:sp>
    <xdr:clientData/>
  </xdr:twoCellAnchor>
  <xdr:twoCellAnchor>
    <xdr:from>
      <xdr:col>3</xdr:col>
      <xdr:colOff>0</xdr:colOff>
      <xdr:row>17</xdr:row>
      <xdr:rowOff>104775</xdr:rowOff>
    </xdr:from>
    <xdr:to>
      <xdr:col>7</xdr:col>
      <xdr:colOff>0</xdr:colOff>
      <xdr:row>19</xdr:row>
      <xdr:rowOff>0</xdr:rowOff>
    </xdr:to>
    <xdr:sp>
      <xdr:nvSpPr>
        <xdr:cNvPr id="28" name="Rectangle 45"/>
        <xdr:cNvSpPr>
          <a:spLocks/>
        </xdr:cNvSpPr>
      </xdr:nvSpPr>
      <xdr:spPr>
        <a:xfrm>
          <a:off x="600075" y="220980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SmA  or  ScrA</a:t>
          </a:r>
        </a:p>
      </xdr:txBody>
    </xdr:sp>
    <xdr:clientData/>
  </xdr:twoCellAnchor>
  <xdr:twoCellAnchor>
    <xdr:from>
      <xdr:col>16</xdr:col>
      <xdr:colOff>0</xdr:colOff>
      <xdr:row>14</xdr:row>
      <xdr:rowOff>104775</xdr:rowOff>
    </xdr:from>
    <xdr:to>
      <xdr:col>21</xdr:col>
      <xdr:colOff>0</xdr:colOff>
      <xdr:row>16</xdr:row>
      <xdr:rowOff>0</xdr:rowOff>
    </xdr:to>
    <xdr:sp>
      <xdr:nvSpPr>
        <xdr:cNvPr id="29" name="Rectangle 46"/>
        <xdr:cNvSpPr>
          <a:spLocks/>
        </xdr:cNvSpPr>
      </xdr:nvSpPr>
      <xdr:spPr>
        <a:xfrm>
          <a:off x="3200400" y="1838325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or  h  for  Sides</a:t>
          </a:r>
        </a:p>
      </xdr:txBody>
    </xdr:sp>
    <xdr:clientData/>
  </xdr:twoCellAnchor>
  <xdr:twoCellAnchor>
    <xdr:from>
      <xdr:col>8</xdr:col>
      <xdr:colOff>0</xdr:colOff>
      <xdr:row>21</xdr:row>
      <xdr:rowOff>85725</xdr:rowOff>
    </xdr:from>
    <xdr:to>
      <xdr:col>13</xdr:col>
      <xdr:colOff>0</xdr:colOff>
      <xdr:row>22</xdr:row>
      <xdr:rowOff>104775</xdr:rowOff>
    </xdr:to>
    <xdr:sp>
      <xdr:nvSpPr>
        <xdr:cNvPr id="30" name="Rectangle 48"/>
        <xdr:cNvSpPr>
          <a:spLocks/>
        </xdr:cNvSpPr>
      </xdr:nvSpPr>
      <xdr:spPr>
        <a:xfrm>
          <a:off x="1600200" y="2686050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Lv  for  Sides</a:t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21</xdr:col>
      <xdr:colOff>0</xdr:colOff>
      <xdr:row>17</xdr:row>
      <xdr:rowOff>19050</xdr:rowOff>
    </xdr:to>
    <xdr:sp>
      <xdr:nvSpPr>
        <xdr:cNvPr id="31" name="Rectangle 50"/>
        <xdr:cNvSpPr>
          <a:spLocks/>
        </xdr:cNvSpPr>
      </xdr:nvSpPr>
      <xdr:spPr>
        <a:xfrm>
          <a:off x="3200400" y="1981200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or  h  for  Ends</a:t>
          </a:r>
        </a:p>
      </xdr:txBody>
    </xdr:sp>
    <xdr:clientData/>
  </xdr:twoCellAnchor>
  <xdr:twoCellAnchor>
    <xdr:from>
      <xdr:col>8</xdr:col>
      <xdr:colOff>0</xdr:colOff>
      <xdr:row>22</xdr:row>
      <xdr:rowOff>104775</xdr:rowOff>
    </xdr:from>
    <xdr:to>
      <xdr:col>13</xdr:col>
      <xdr:colOff>0</xdr:colOff>
      <xdr:row>24</xdr:row>
      <xdr:rowOff>0</xdr:rowOff>
    </xdr:to>
    <xdr:sp>
      <xdr:nvSpPr>
        <xdr:cNvPr id="32" name="Rectangle 51"/>
        <xdr:cNvSpPr>
          <a:spLocks/>
        </xdr:cNvSpPr>
      </xdr:nvSpPr>
      <xdr:spPr>
        <a:xfrm>
          <a:off x="1600200" y="2828925"/>
          <a:ext cx="1000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for  Ends</a:t>
          </a:r>
        </a:p>
      </xdr:txBody>
    </xdr:sp>
    <xdr:clientData/>
  </xdr:twoCellAnchor>
  <xdr:twoCellAnchor>
    <xdr:from>
      <xdr:col>15</xdr:col>
      <xdr:colOff>0</xdr:colOff>
      <xdr:row>20</xdr:row>
      <xdr:rowOff>104775</xdr:rowOff>
    </xdr:from>
    <xdr:to>
      <xdr:col>19</xdr:col>
      <xdr:colOff>0</xdr:colOff>
      <xdr:row>22</xdr:row>
      <xdr:rowOff>0</xdr:rowOff>
    </xdr:to>
    <xdr:sp>
      <xdr:nvSpPr>
        <xdr:cNvPr id="33" name="Rectangle 52"/>
        <xdr:cNvSpPr>
          <a:spLocks/>
        </xdr:cNvSpPr>
      </xdr:nvSpPr>
      <xdr:spPr>
        <a:xfrm>
          <a:off x="3000375" y="2581275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h  &gt;=  H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19</xdr:col>
      <xdr:colOff>0</xdr:colOff>
      <xdr:row>23</xdr:row>
      <xdr:rowOff>19050</xdr:rowOff>
    </xdr:to>
    <xdr:sp>
      <xdr:nvSpPr>
        <xdr:cNvPr id="34" name="Rectangle 53"/>
        <xdr:cNvSpPr>
          <a:spLocks/>
        </xdr:cNvSpPr>
      </xdr:nvSpPr>
      <xdr:spPr>
        <a:xfrm>
          <a:off x="3000375" y="272415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Lv  &gt;=  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0175" y="1362075"/>
          <a:ext cx="60007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0</xdr:rowOff>
    </xdr:from>
    <xdr:to>
      <xdr:col>8</xdr:col>
      <xdr:colOff>161925</xdr:colOff>
      <xdr:row>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647825" y="1485900"/>
          <a:ext cx="1143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400175" y="1857375"/>
          <a:ext cx="60007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00125" y="1981200"/>
          <a:ext cx="14001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0</xdr:colOff>
      <xdr:row>10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1400175" y="12001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0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2000250" y="1200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47625</xdr:rowOff>
    </xdr:from>
    <xdr:to>
      <xdr:col>5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1000125" y="21526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57150</xdr:rowOff>
    </xdr:from>
    <xdr:to>
      <xdr:col>12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2400300" y="21621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57150</xdr:colOff>
      <xdr:row>16</xdr:row>
      <xdr:rowOff>0</xdr:rowOff>
    </xdr:from>
    <xdr:to>
      <xdr:col>12</xdr:col>
      <xdr:colOff>180975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2457450" y="19812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47625</xdr:colOff>
      <xdr:row>17</xdr:row>
      <xdr:rowOff>0</xdr:rowOff>
    </xdr:from>
    <xdr:to>
      <xdr:col>15</xdr:col>
      <xdr:colOff>28575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>
          <a:off x="2447925" y="2105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0</xdr:rowOff>
    </xdr:from>
    <xdr:to>
      <xdr:col>12</xdr:col>
      <xdr:colOff>180975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047875" y="1857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0</xdr:rowOff>
    </xdr:from>
    <xdr:to>
      <xdr:col>12</xdr:col>
      <xdr:colOff>171450</xdr:colOff>
      <xdr:row>12</xdr:row>
      <xdr:rowOff>0</xdr:rowOff>
    </xdr:to>
    <xdr:sp>
      <xdr:nvSpPr>
        <xdr:cNvPr id="12" name="Line 12"/>
        <xdr:cNvSpPr>
          <a:spLocks/>
        </xdr:cNvSpPr>
      </xdr:nvSpPr>
      <xdr:spPr>
        <a:xfrm>
          <a:off x="2047875" y="1485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47625</xdr:colOff>
      <xdr:row>11</xdr:row>
      <xdr:rowOff>0</xdr:rowOff>
    </xdr:from>
    <xdr:to>
      <xdr:col>15</xdr:col>
      <xdr:colOff>28575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2047875" y="13620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0175" y="12382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1000125" y="22288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8</xdr:col>
      <xdr:colOff>38100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1485900" y="1733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0</xdr:rowOff>
    </xdr:from>
    <xdr:to>
      <xdr:col>10</xdr:col>
      <xdr:colOff>114300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762125" y="17335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11</xdr:row>
      <xdr:rowOff>0</xdr:rowOff>
    </xdr:from>
    <xdr:to>
      <xdr:col>12</xdr:col>
      <xdr:colOff>142875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>
          <a:off x="2543175" y="1362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12</xdr:row>
      <xdr:rowOff>0</xdr:rowOff>
    </xdr:from>
    <xdr:to>
      <xdr:col>12</xdr:col>
      <xdr:colOff>142875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2543175" y="14859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15</xdr:row>
      <xdr:rowOff>0</xdr:rowOff>
    </xdr:from>
    <xdr:to>
      <xdr:col>12</xdr:col>
      <xdr:colOff>142875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2543175" y="1857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16</xdr:row>
      <xdr:rowOff>0</xdr:rowOff>
    </xdr:from>
    <xdr:to>
      <xdr:col>12</xdr:col>
      <xdr:colOff>142875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2543175" y="1981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123825</xdr:colOff>
      <xdr:row>12</xdr:row>
      <xdr:rowOff>0</xdr:rowOff>
    </xdr:to>
    <xdr:sp>
      <xdr:nvSpPr>
        <xdr:cNvPr id="22" name="Oval 22"/>
        <xdr:cNvSpPr>
          <a:spLocks/>
        </xdr:cNvSpPr>
      </xdr:nvSpPr>
      <xdr:spPr>
        <a:xfrm>
          <a:off x="1200150" y="13620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123825</xdr:colOff>
      <xdr:row>14</xdr:row>
      <xdr:rowOff>0</xdr:rowOff>
    </xdr:to>
    <xdr:sp>
      <xdr:nvSpPr>
        <xdr:cNvPr id="23" name="Oval 23"/>
        <xdr:cNvSpPr>
          <a:spLocks/>
        </xdr:cNvSpPr>
      </xdr:nvSpPr>
      <xdr:spPr>
        <a:xfrm>
          <a:off x="1200150" y="16097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123825</xdr:colOff>
      <xdr:row>16</xdr:row>
      <xdr:rowOff>0</xdr:rowOff>
    </xdr:to>
    <xdr:sp>
      <xdr:nvSpPr>
        <xdr:cNvPr id="24" name="Oval 24"/>
        <xdr:cNvSpPr>
          <a:spLocks/>
        </xdr:cNvSpPr>
      </xdr:nvSpPr>
      <xdr:spPr>
        <a:xfrm>
          <a:off x="1200150" y="18573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123825</xdr:colOff>
      <xdr:row>17</xdr:row>
      <xdr:rowOff>0</xdr:rowOff>
    </xdr:to>
    <xdr:sp>
      <xdr:nvSpPr>
        <xdr:cNvPr id="25" name="Oval 26"/>
        <xdr:cNvSpPr>
          <a:spLocks/>
        </xdr:cNvSpPr>
      </xdr:nvSpPr>
      <xdr:spPr>
        <a:xfrm>
          <a:off x="1200150" y="19812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17</xdr:col>
      <xdr:colOff>38100</xdr:colOff>
      <xdr:row>10</xdr:row>
      <xdr:rowOff>0</xdr:rowOff>
    </xdr:from>
    <xdr:to>
      <xdr:col>17</xdr:col>
      <xdr:colOff>161925</xdr:colOff>
      <xdr:row>11</xdr:row>
      <xdr:rowOff>0</xdr:rowOff>
    </xdr:to>
    <xdr:sp>
      <xdr:nvSpPr>
        <xdr:cNvPr id="26" name="Oval 27"/>
        <xdr:cNvSpPr>
          <a:spLocks/>
        </xdr:cNvSpPr>
      </xdr:nvSpPr>
      <xdr:spPr>
        <a:xfrm>
          <a:off x="3438525" y="12382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17</xdr:col>
      <xdr:colOff>38100</xdr:colOff>
      <xdr:row>11</xdr:row>
      <xdr:rowOff>0</xdr:rowOff>
    </xdr:from>
    <xdr:to>
      <xdr:col>17</xdr:col>
      <xdr:colOff>161925</xdr:colOff>
      <xdr:row>12</xdr:row>
      <xdr:rowOff>0</xdr:rowOff>
    </xdr:to>
    <xdr:sp>
      <xdr:nvSpPr>
        <xdr:cNvPr id="27" name="Oval 28"/>
        <xdr:cNvSpPr>
          <a:spLocks/>
        </xdr:cNvSpPr>
      </xdr:nvSpPr>
      <xdr:spPr>
        <a:xfrm>
          <a:off x="3438525" y="13620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17</xdr:col>
      <xdr:colOff>38100</xdr:colOff>
      <xdr:row>12</xdr:row>
      <xdr:rowOff>0</xdr:rowOff>
    </xdr:from>
    <xdr:to>
      <xdr:col>17</xdr:col>
      <xdr:colOff>161925</xdr:colOff>
      <xdr:row>13</xdr:row>
      <xdr:rowOff>0</xdr:rowOff>
    </xdr:to>
    <xdr:sp>
      <xdr:nvSpPr>
        <xdr:cNvPr id="28" name="Oval 29"/>
        <xdr:cNvSpPr>
          <a:spLocks/>
        </xdr:cNvSpPr>
      </xdr:nvSpPr>
      <xdr:spPr>
        <a:xfrm>
          <a:off x="3438525" y="14859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17</xdr:col>
      <xdr:colOff>38100</xdr:colOff>
      <xdr:row>13</xdr:row>
      <xdr:rowOff>0</xdr:rowOff>
    </xdr:from>
    <xdr:to>
      <xdr:col>17</xdr:col>
      <xdr:colOff>161925</xdr:colOff>
      <xdr:row>14</xdr:row>
      <xdr:rowOff>0</xdr:rowOff>
    </xdr:to>
    <xdr:sp>
      <xdr:nvSpPr>
        <xdr:cNvPr id="29" name="Oval 30"/>
        <xdr:cNvSpPr>
          <a:spLocks/>
        </xdr:cNvSpPr>
      </xdr:nvSpPr>
      <xdr:spPr>
        <a:xfrm>
          <a:off x="3438525" y="16097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2</xdr:col>
      <xdr:colOff>95250</xdr:colOff>
      <xdr:row>16</xdr:row>
      <xdr:rowOff>0</xdr:rowOff>
    </xdr:from>
    <xdr:to>
      <xdr:col>2</xdr:col>
      <xdr:colOff>95250</xdr:colOff>
      <xdr:row>17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495300" y="1981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0</xdr:rowOff>
    </xdr:from>
    <xdr:to>
      <xdr:col>4</xdr:col>
      <xdr:colOff>152400</xdr:colOff>
      <xdr:row>17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457200" y="21050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171450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32" name="Line 33"/>
        <xdr:cNvSpPr>
          <a:spLocks/>
        </xdr:cNvSpPr>
      </xdr:nvSpPr>
      <xdr:spPr>
        <a:xfrm>
          <a:off x="771525" y="1733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171450</xdr:colOff>
      <xdr:row>11</xdr:row>
      <xdr:rowOff>0</xdr:rowOff>
    </xdr:from>
    <xdr:to>
      <xdr:col>6</xdr:col>
      <xdr:colOff>133350</xdr:colOff>
      <xdr:row>11</xdr:row>
      <xdr:rowOff>0</xdr:rowOff>
    </xdr:to>
    <xdr:sp>
      <xdr:nvSpPr>
        <xdr:cNvPr id="33" name="Line 34"/>
        <xdr:cNvSpPr>
          <a:spLocks/>
        </xdr:cNvSpPr>
      </xdr:nvSpPr>
      <xdr:spPr>
        <a:xfrm>
          <a:off x="771525" y="13620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34" name="Line 37"/>
        <xdr:cNvSpPr>
          <a:spLocks/>
        </xdr:cNvSpPr>
      </xdr:nvSpPr>
      <xdr:spPr>
        <a:xfrm flipV="1">
          <a:off x="800100" y="13620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35" name="Line 38"/>
        <xdr:cNvSpPr>
          <a:spLocks/>
        </xdr:cNvSpPr>
      </xdr:nvSpPr>
      <xdr:spPr>
        <a:xfrm>
          <a:off x="800100" y="16097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36" name="Line 39"/>
        <xdr:cNvSpPr>
          <a:spLocks/>
        </xdr:cNvSpPr>
      </xdr:nvSpPr>
      <xdr:spPr>
        <a:xfrm flipV="1">
          <a:off x="800100" y="17335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37" name="Line 40"/>
        <xdr:cNvSpPr>
          <a:spLocks/>
        </xdr:cNvSpPr>
      </xdr:nvSpPr>
      <xdr:spPr>
        <a:xfrm>
          <a:off x="800100" y="19812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17</xdr:row>
      <xdr:rowOff>0</xdr:rowOff>
    </xdr:to>
    <xdr:sp>
      <xdr:nvSpPr>
        <xdr:cNvPr id="38" name="Line 41"/>
        <xdr:cNvSpPr>
          <a:spLocks/>
        </xdr:cNvSpPr>
      </xdr:nvSpPr>
      <xdr:spPr>
        <a:xfrm>
          <a:off x="3000375" y="13620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28575</xdr:colOff>
      <xdr:row>14</xdr:row>
      <xdr:rowOff>0</xdr:rowOff>
    </xdr:to>
    <xdr:sp>
      <xdr:nvSpPr>
        <xdr:cNvPr id="39" name="Line 42"/>
        <xdr:cNvSpPr>
          <a:spLocks/>
        </xdr:cNvSpPr>
      </xdr:nvSpPr>
      <xdr:spPr>
        <a:xfrm flipH="1">
          <a:off x="400050" y="1733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95250</xdr:colOff>
      <xdr:row>13</xdr:row>
      <xdr:rowOff>9525</xdr:rowOff>
    </xdr:from>
    <xdr:to>
      <xdr:col>2</xdr:col>
      <xdr:colOff>95250</xdr:colOff>
      <xdr:row>14</xdr:row>
      <xdr:rowOff>0</xdr:rowOff>
    </xdr:to>
    <xdr:sp>
      <xdr:nvSpPr>
        <xdr:cNvPr id="40" name="Line 43"/>
        <xdr:cNvSpPr>
          <a:spLocks/>
        </xdr:cNvSpPr>
      </xdr:nvSpPr>
      <xdr:spPr>
        <a:xfrm flipV="1">
          <a:off x="495300" y="16192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10</xdr:col>
      <xdr:colOff>0</xdr:colOff>
      <xdr:row>22</xdr:row>
      <xdr:rowOff>0</xdr:rowOff>
    </xdr:to>
    <xdr:sp>
      <xdr:nvSpPr>
        <xdr:cNvPr id="41" name="Rectangle 44"/>
        <xdr:cNvSpPr>
          <a:spLocks/>
        </xdr:cNvSpPr>
      </xdr:nvSpPr>
      <xdr:spPr>
        <a:xfrm>
          <a:off x="1400175" y="2600325"/>
          <a:ext cx="60007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0</xdr:rowOff>
    </xdr:from>
    <xdr:to>
      <xdr:col>8</xdr:col>
      <xdr:colOff>161925</xdr:colOff>
      <xdr:row>25</xdr:row>
      <xdr:rowOff>0</xdr:rowOff>
    </xdr:to>
    <xdr:sp>
      <xdr:nvSpPr>
        <xdr:cNvPr id="42" name="Rectangle 45"/>
        <xdr:cNvSpPr>
          <a:spLocks/>
        </xdr:cNvSpPr>
      </xdr:nvSpPr>
      <xdr:spPr>
        <a:xfrm>
          <a:off x="1647825" y="2724150"/>
          <a:ext cx="114300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10</xdr:col>
      <xdr:colOff>0</xdr:colOff>
      <xdr:row>26</xdr:row>
      <xdr:rowOff>0</xdr:rowOff>
    </xdr:to>
    <xdr:sp>
      <xdr:nvSpPr>
        <xdr:cNvPr id="43" name="Rectangle 46"/>
        <xdr:cNvSpPr>
          <a:spLocks/>
        </xdr:cNvSpPr>
      </xdr:nvSpPr>
      <xdr:spPr>
        <a:xfrm>
          <a:off x="1400175" y="3095625"/>
          <a:ext cx="600075" cy="123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12</xdr:col>
      <xdr:colOff>0</xdr:colOff>
      <xdr:row>27</xdr:row>
      <xdr:rowOff>0</xdr:rowOff>
    </xdr:to>
    <xdr:sp>
      <xdr:nvSpPr>
        <xdr:cNvPr id="44" name="Rectangle 47"/>
        <xdr:cNvSpPr>
          <a:spLocks/>
        </xdr:cNvSpPr>
      </xdr:nvSpPr>
      <xdr:spPr>
        <a:xfrm>
          <a:off x="1000125" y="3219450"/>
          <a:ext cx="14001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85725</xdr:rowOff>
    </xdr:from>
    <xdr:to>
      <xdr:col>7</xdr:col>
      <xdr:colOff>0</xdr:colOff>
      <xdr:row>20</xdr:row>
      <xdr:rowOff>85725</xdr:rowOff>
    </xdr:to>
    <xdr:sp>
      <xdr:nvSpPr>
        <xdr:cNvPr id="45" name="Line 48"/>
        <xdr:cNvSpPr>
          <a:spLocks/>
        </xdr:cNvSpPr>
      </xdr:nvSpPr>
      <xdr:spPr>
        <a:xfrm flipV="1">
          <a:off x="1400175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85725</xdr:rowOff>
    </xdr:from>
    <xdr:to>
      <xdr:col>10</xdr:col>
      <xdr:colOff>0</xdr:colOff>
      <xdr:row>20</xdr:row>
      <xdr:rowOff>76200</xdr:rowOff>
    </xdr:to>
    <xdr:sp>
      <xdr:nvSpPr>
        <xdr:cNvPr id="46" name="Line 49"/>
        <xdr:cNvSpPr>
          <a:spLocks/>
        </xdr:cNvSpPr>
      </xdr:nvSpPr>
      <xdr:spPr>
        <a:xfrm flipV="1">
          <a:off x="2000250" y="2438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47625</xdr:rowOff>
    </xdr:from>
    <xdr:to>
      <xdr:col>5</xdr:col>
      <xdr:colOff>0</xdr:colOff>
      <xdr:row>28</xdr:row>
      <xdr:rowOff>0</xdr:rowOff>
    </xdr:to>
    <xdr:sp>
      <xdr:nvSpPr>
        <xdr:cNvPr id="47" name="Line 50"/>
        <xdr:cNvSpPr>
          <a:spLocks/>
        </xdr:cNvSpPr>
      </xdr:nvSpPr>
      <xdr:spPr>
        <a:xfrm>
          <a:off x="1000125" y="33909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57150</xdr:rowOff>
    </xdr:from>
    <xdr:to>
      <xdr:col>12</xdr:col>
      <xdr:colOff>0</xdr:colOff>
      <xdr:row>28</xdr:row>
      <xdr:rowOff>0</xdr:rowOff>
    </xdr:to>
    <xdr:sp>
      <xdr:nvSpPr>
        <xdr:cNvPr id="48" name="Line 51"/>
        <xdr:cNvSpPr>
          <a:spLocks/>
        </xdr:cNvSpPr>
      </xdr:nvSpPr>
      <xdr:spPr>
        <a:xfrm>
          <a:off x="2400300" y="34004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49" name="Line 52"/>
        <xdr:cNvSpPr>
          <a:spLocks/>
        </xdr:cNvSpPr>
      </xdr:nvSpPr>
      <xdr:spPr>
        <a:xfrm>
          <a:off x="2457450" y="32194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47625</xdr:colOff>
      <xdr:row>27</xdr:row>
      <xdr:rowOff>0</xdr:rowOff>
    </xdr:from>
    <xdr:to>
      <xdr:col>15</xdr:col>
      <xdr:colOff>28575</xdr:colOff>
      <xdr:row>27</xdr:row>
      <xdr:rowOff>0</xdr:rowOff>
    </xdr:to>
    <xdr:sp>
      <xdr:nvSpPr>
        <xdr:cNvPr id="50" name="Line 53"/>
        <xdr:cNvSpPr>
          <a:spLocks/>
        </xdr:cNvSpPr>
      </xdr:nvSpPr>
      <xdr:spPr>
        <a:xfrm>
          <a:off x="2447925" y="3343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0</xdr:rowOff>
    </xdr:from>
    <xdr:to>
      <xdr:col>12</xdr:col>
      <xdr:colOff>180975</xdr:colOff>
      <xdr:row>25</xdr:row>
      <xdr:rowOff>0</xdr:rowOff>
    </xdr:to>
    <xdr:sp>
      <xdr:nvSpPr>
        <xdr:cNvPr id="51" name="Line 54"/>
        <xdr:cNvSpPr>
          <a:spLocks/>
        </xdr:cNvSpPr>
      </xdr:nvSpPr>
      <xdr:spPr>
        <a:xfrm>
          <a:off x="2047875" y="3095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0</xdr:rowOff>
    </xdr:from>
    <xdr:to>
      <xdr:col>12</xdr:col>
      <xdr:colOff>171450</xdr:colOff>
      <xdr:row>22</xdr:row>
      <xdr:rowOff>0</xdr:rowOff>
    </xdr:to>
    <xdr:sp>
      <xdr:nvSpPr>
        <xdr:cNvPr id="52" name="Line 55"/>
        <xdr:cNvSpPr>
          <a:spLocks/>
        </xdr:cNvSpPr>
      </xdr:nvSpPr>
      <xdr:spPr>
        <a:xfrm>
          <a:off x="2047875" y="27241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10</xdr:col>
      <xdr:colOff>47625</xdr:colOff>
      <xdr:row>21</xdr:row>
      <xdr:rowOff>0</xdr:rowOff>
    </xdr:from>
    <xdr:to>
      <xdr:col>15</xdr:col>
      <xdr:colOff>28575</xdr:colOff>
      <xdr:row>21</xdr:row>
      <xdr:rowOff>0</xdr:rowOff>
    </xdr:to>
    <xdr:sp>
      <xdr:nvSpPr>
        <xdr:cNvPr id="53" name="Line 56"/>
        <xdr:cNvSpPr>
          <a:spLocks/>
        </xdr:cNvSpPr>
      </xdr:nvSpPr>
      <xdr:spPr>
        <a:xfrm>
          <a:off x="2047875" y="26003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54" name="Line 57"/>
        <xdr:cNvSpPr>
          <a:spLocks/>
        </xdr:cNvSpPr>
      </xdr:nvSpPr>
      <xdr:spPr>
        <a:xfrm>
          <a:off x="1400175" y="24765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55" name="Line 58"/>
        <xdr:cNvSpPr>
          <a:spLocks/>
        </xdr:cNvSpPr>
      </xdr:nvSpPr>
      <xdr:spPr>
        <a:xfrm>
          <a:off x="1000125" y="34671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0</xdr:rowOff>
    </xdr:from>
    <xdr:to>
      <xdr:col>8</xdr:col>
      <xdr:colOff>38100</xdr:colOff>
      <xdr:row>24</xdr:row>
      <xdr:rowOff>0</xdr:rowOff>
    </xdr:to>
    <xdr:sp>
      <xdr:nvSpPr>
        <xdr:cNvPr id="56" name="Line 59"/>
        <xdr:cNvSpPr>
          <a:spLocks/>
        </xdr:cNvSpPr>
      </xdr:nvSpPr>
      <xdr:spPr>
        <a:xfrm>
          <a:off x="1485900" y="2971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0</xdr:rowOff>
    </xdr:from>
    <xdr:to>
      <xdr:col>10</xdr:col>
      <xdr:colOff>114300</xdr:colOff>
      <xdr:row>24</xdr:row>
      <xdr:rowOff>0</xdr:rowOff>
    </xdr:to>
    <xdr:sp>
      <xdr:nvSpPr>
        <xdr:cNvPr id="57" name="Line 60"/>
        <xdr:cNvSpPr>
          <a:spLocks/>
        </xdr:cNvSpPr>
      </xdr:nvSpPr>
      <xdr:spPr>
        <a:xfrm flipH="1">
          <a:off x="1762125" y="2971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21</xdr:row>
      <xdr:rowOff>0</xdr:rowOff>
    </xdr:from>
    <xdr:to>
      <xdr:col>12</xdr:col>
      <xdr:colOff>142875</xdr:colOff>
      <xdr:row>22</xdr:row>
      <xdr:rowOff>0</xdr:rowOff>
    </xdr:to>
    <xdr:sp>
      <xdr:nvSpPr>
        <xdr:cNvPr id="58" name="Line 61"/>
        <xdr:cNvSpPr>
          <a:spLocks/>
        </xdr:cNvSpPr>
      </xdr:nvSpPr>
      <xdr:spPr>
        <a:xfrm>
          <a:off x="2543175" y="2600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22</xdr:row>
      <xdr:rowOff>0</xdr:rowOff>
    </xdr:from>
    <xdr:to>
      <xdr:col>12</xdr:col>
      <xdr:colOff>142875</xdr:colOff>
      <xdr:row>25</xdr:row>
      <xdr:rowOff>0</xdr:rowOff>
    </xdr:to>
    <xdr:sp>
      <xdr:nvSpPr>
        <xdr:cNvPr id="59" name="Line 62"/>
        <xdr:cNvSpPr>
          <a:spLocks/>
        </xdr:cNvSpPr>
      </xdr:nvSpPr>
      <xdr:spPr>
        <a:xfrm>
          <a:off x="2543175" y="27241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25</xdr:row>
      <xdr:rowOff>0</xdr:rowOff>
    </xdr:from>
    <xdr:to>
      <xdr:col>12</xdr:col>
      <xdr:colOff>142875</xdr:colOff>
      <xdr:row>26</xdr:row>
      <xdr:rowOff>0</xdr:rowOff>
    </xdr:to>
    <xdr:sp>
      <xdr:nvSpPr>
        <xdr:cNvPr id="60" name="Line 63"/>
        <xdr:cNvSpPr>
          <a:spLocks/>
        </xdr:cNvSpPr>
      </xdr:nvSpPr>
      <xdr:spPr>
        <a:xfrm>
          <a:off x="2543175" y="30956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12</xdr:col>
      <xdr:colOff>142875</xdr:colOff>
      <xdr:row>26</xdr:row>
      <xdr:rowOff>0</xdr:rowOff>
    </xdr:from>
    <xdr:to>
      <xdr:col>12</xdr:col>
      <xdr:colOff>142875</xdr:colOff>
      <xdr:row>27</xdr:row>
      <xdr:rowOff>0</xdr:rowOff>
    </xdr:to>
    <xdr:sp>
      <xdr:nvSpPr>
        <xdr:cNvPr id="61" name="Line 64"/>
        <xdr:cNvSpPr>
          <a:spLocks/>
        </xdr:cNvSpPr>
      </xdr:nvSpPr>
      <xdr:spPr>
        <a:xfrm>
          <a:off x="2543175" y="3219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123825</xdr:colOff>
      <xdr:row>22</xdr:row>
      <xdr:rowOff>0</xdr:rowOff>
    </xdr:to>
    <xdr:sp>
      <xdr:nvSpPr>
        <xdr:cNvPr id="62" name="Oval 65"/>
        <xdr:cNvSpPr>
          <a:spLocks/>
        </xdr:cNvSpPr>
      </xdr:nvSpPr>
      <xdr:spPr>
        <a:xfrm>
          <a:off x="1200150" y="26003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123825</xdr:colOff>
      <xdr:row>24</xdr:row>
      <xdr:rowOff>0</xdr:rowOff>
    </xdr:to>
    <xdr:sp>
      <xdr:nvSpPr>
        <xdr:cNvPr id="63" name="Oval 66"/>
        <xdr:cNvSpPr>
          <a:spLocks/>
        </xdr:cNvSpPr>
      </xdr:nvSpPr>
      <xdr:spPr>
        <a:xfrm>
          <a:off x="1200150" y="28479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123825</xdr:colOff>
      <xdr:row>26</xdr:row>
      <xdr:rowOff>0</xdr:rowOff>
    </xdr:to>
    <xdr:sp>
      <xdr:nvSpPr>
        <xdr:cNvPr id="64" name="Oval 67"/>
        <xdr:cNvSpPr>
          <a:spLocks/>
        </xdr:cNvSpPr>
      </xdr:nvSpPr>
      <xdr:spPr>
        <a:xfrm>
          <a:off x="1200150" y="30956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123825</xdr:colOff>
      <xdr:row>27</xdr:row>
      <xdr:rowOff>0</xdr:rowOff>
    </xdr:to>
    <xdr:sp>
      <xdr:nvSpPr>
        <xdr:cNvPr id="65" name="Oval 68"/>
        <xdr:cNvSpPr>
          <a:spLocks/>
        </xdr:cNvSpPr>
      </xdr:nvSpPr>
      <xdr:spPr>
        <a:xfrm>
          <a:off x="1200150" y="32194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  <xdr:twoCellAnchor>
    <xdr:from>
      <xdr:col>2</xdr:col>
      <xdr:colOff>95250</xdr:colOff>
      <xdr:row>26</xdr:row>
      <xdr:rowOff>0</xdr:rowOff>
    </xdr:from>
    <xdr:to>
      <xdr:col>2</xdr:col>
      <xdr:colOff>95250</xdr:colOff>
      <xdr:row>27</xdr:row>
      <xdr:rowOff>0</xdr:rowOff>
    </xdr:to>
    <xdr:sp>
      <xdr:nvSpPr>
        <xdr:cNvPr id="66" name="Line 73"/>
        <xdr:cNvSpPr>
          <a:spLocks/>
        </xdr:cNvSpPr>
      </xdr:nvSpPr>
      <xdr:spPr>
        <a:xfrm flipV="1">
          <a:off x="495300" y="3219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0</xdr:rowOff>
    </xdr:from>
    <xdr:to>
      <xdr:col>4</xdr:col>
      <xdr:colOff>152400</xdr:colOff>
      <xdr:row>27</xdr:row>
      <xdr:rowOff>0</xdr:rowOff>
    </xdr:to>
    <xdr:sp>
      <xdr:nvSpPr>
        <xdr:cNvPr id="67" name="Line 74"/>
        <xdr:cNvSpPr>
          <a:spLocks/>
        </xdr:cNvSpPr>
      </xdr:nvSpPr>
      <xdr:spPr>
        <a:xfrm flipH="1">
          <a:off x="457200" y="3343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171450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8" name="Line 75"/>
        <xdr:cNvSpPr>
          <a:spLocks/>
        </xdr:cNvSpPr>
      </xdr:nvSpPr>
      <xdr:spPr>
        <a:xfrm>
          <a:off x="771525" y="2971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171450</xdr:colOff>
      <xdr:row>21</xdr:row>
      <xdr:rowOff>0</xdr:rowOff>
    </xdr:from>
    <xdr:to>
      <xdr:col>6</xdr:col>
      <xdr:colOff>133350</xdr:colOff>
      <xdr:row>21</xdr:row>
      <xdr:rowOff>0</xdr:rowOff>
    </xdr:to>
    <xdr:sp>
      <xdr:nvSpPr>
        <xdr:cNvPr id="69" name="Line 76"/>
        <xdr:cNvSpPr>
          <a:spLocks/>
        </xdr:cNvSpPr>
      </xdr:nvSpPr>
      <xdr:spPr>
        <a:xfrm>
          <a:off x="771525" y="2600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22</xdr:row>
      <xdr:rowOff>0</xdr:rowOff>
    </xdr:to>
    <xdr:sp>
      <xdr:nvSpPr>
        <xdr:cNvPr id="70" name="Line 77"/>
        <xdr:cNvSpPr>
          <a:spLocks/>
        </xdr:cNvSpPr>
      </xdr:nvSpPr>
      <xdr:spPr>
        <a:xfrm flipV="1">
          <a:off x="800100" y="26003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24</xdr:row>
      <xdr:rowOff>0</xdr:rowOff>
    </xdr:to>
    <xdr:sp>
      <xdr:nvSpPr>
        <xdr:cNvPr id="71" name="Line 78"/>
        <xdr:cNvSpPr>
          <a:spLocks/>
        </xdr:cNvSpPr>
      </xdr:nvSpPr>
      <xdr:spPr>
        <a:xfrm>
          <a:off x="800100" y="2847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25</xdr:row>
      <xdr:rowOff>0</xdr:rowOff>
    </xdr:to>
    <xdr:sp>
      <xdr:nvSpPr>
        <xdr:cNvPr id="72" name="Line 79"/>
        <xdr:cNvSpPr>
          <a:spLocks/>
        </xdr:cNvSpPr>
      </xdr:nvSpPr>
      <xdr:spPr>
        <a:xfrm flipV="1">
          <a:off x="800100" y="29718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>
      <xdr:nvSpPr>
        <xdr:cNvPr id="73" name="Line 80"/>
        <xdr:cNvSpPr>
          <a:spLocks/>
        </xdr:cNvSpPr>
      </xdr:nvSpPr>
      <xdr:spPr>
        <a:xfrm>
          <a:off x="800100" y="32194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27</xdr:row>
      <xdr:rowOff>0</xdr:rowOff>
    </xdr:to>
    <xdr:sp>
      <xdr:nvSpPr>
        <xdr:cNvPr id="74" name="Line 81"/>
        <xdr:cNvSpPr>
          <a:spLocks/>
        </xdr:cNvSpPr>
      </xdr:nvSpPr>
      <xdr:spPr>
        <a:xfrm>
          <a:off x="3000375" y="26003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28575</xdr:colOff>
      <xdr:row>24</xdr:row>
      <xdr:rowOff>0</xdr:rowOff>
    </xdr:to>
    <xdr:sp>
      <xdr:nvSpPr>
        <xdr:cNvPr id="75" name="Line 82"/>
        <xdr:cNvSpPr>
          <a:spLocks/>
        </xdr:cNvSpPr>
      </xdr:nvSpPr>
      <xdr:spPr>
        <a:xfrm flipH="1">
          <a:off x="400050" y="2971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9525</xdr:rowOff>
    </xdr:from>
    <xdr:to>
      <xdr:col>2</xdr:col>
      <xdr:colOff>95250</xdr:colOff>
      <xdr:row>24</xdr:row>
      <xdr:rowOff>0</xdr:rowOff>
    </xdr:to>
    <xdr:sp>
      <xdr:nvSpPr>
        <xdr:cNvPr id="76" name="Line 83"/>
        <xdr:cNvSpPr>
          <a:spLocks/>
        </xdr:cNvSpPr>
      </xdr:nvSpPr>
      <xdr:spPr>
        <a:xfrm flipV="1">
          <a:off x="495300" y="285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12</xdr:col>
      <xdr:colOff>0</xdr:colOff>
      <xdr:row>17</xdr:row>
      <xdr:rowOff>0</xdr:rowOff>
    </xdr:to>
    <xdr:sp>
      <xdr:nvSpPr>
        <xdr:cNvPr id="77" name="Rectangle 85"/>
        <xdr:cNvSpPr>
          <a:spLocks/>
        </xdr:cNvSpPr>
      </xdr:nvSpPr>
      <xdr:spPr>
        <a:xfrm>
          <a:off x="2200275" y="198120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t1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27</xdr:row>
      <xdr:rowOff>0</xdr:rowOff>
    </xdr:to>
    <xdr:sp>
      <xdr:nvSpPr>
        <xdr:cNvPr id="78" name="Rectangle 86"/>
        <xdr:cNvSpPr>
          <a:spLocks/>
        </xdr:cNvSpPr>
      </xdr:nvSpPr>
      <xdr:spPr>
        <a:xfrm>
          <a:off x="2200275" y="3219450"/>
          <a:ext cx="200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t2</a:t>
          </a:r>
        </a:p>
      </xdr:txBody>
    </xdr:sp>
    <xdr:clientData/>
  </xdr:twoCellAnchor>
  <xdr:twoCellAnchor>
    <xdr:from>
      <xdr:col>17</xdr:col>
      <xdr:colOff>38100</xdr:colOff>
      <xdr:row>20</xdr:row>
      <xdr:rowOff>0</xdr:rowOff>
    </xdr:from>
    <xdr:to>
      <xdr:col>17</xdr:col>
      <xdr:colOff>161925</xdr:colOff>
      <xdr:row>21</xdr:row>
      <xdr:rowOff>0</xdr:rowOff>
    </xdr:to>
    <xdr:sp>
      <xdr:nvSpPr>
        <xdr:cNvPr id="79" name="Oval 87"/>
        <xdr:cNvSpPr>
          <a:spLocks/>
        </xdr:cNvSpPr>
      </xdr:nvSpPr>
      <xdr:spPr>
        <a:xfrm>
          <a:off x="3438525" y="2476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4</a:t>
          </a:r>
        </a:p>
      </xdr:txBody>
    </xdr:sp>
    <xdr:clientData/>
  </xdr:twoCellAnchor>
  <xdr:twoCellAnchor>
    <xdr:from>
      <xdr:col>17</xdr:col>
      <xdr:colOff>38100</xdr:colOff>
      <xdr:row>21</xdr:row>
      <xdr:rowOff>0</xdr:rowOff>
    </xdr:from>
    <xdr:to>
      <xdr:col>17</xdr:col>
      <xdr:colOff>161925</xdr:colOff>
      <xdr:row>22</xdr:row>
      <xdr:rowOff>0</xdr:rowOff>
    </xdr:to>
    <xdr:sp>
      <xdr:nvSpPr>
        <xdr:cNvPr id="80" name="Oval 88"/>
        <xdr:cNvSpPr>
          <a:spLocks/>
        </xdr:cNvSpPr>
      </xdr:nvSpPr>
      <xdr:spPr>
        <a:xfrm>
          <a:off x="3438525" y="26003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3</a:t>
          </a:r>
        </a:p>
      </xdr:txBody>
    </xdr:sp>
    <xdr:clientData/>
  </xdr:twoCellAnchor>
  <xdr:twoCellAnchor>
    <xdr:from>
      <xdr:col>17</xdr:col>
      <xdr:colOff>38100</xdr:colOff>
      <xdr:row>22</xdr:row>
      <xdr:rowOff>0</xdr:rowOff>
    </xdr:from>
    <xdr:to>
      <xdr:col>17</xdr:col>
      <xdr:colOff>161925</xdr:colOff>
      <xdr:row>23</xdr:row>
      <xdr:rowOff>0</xdr:rowOff>
    </xdr:to>
    <xdr:sp>
      <xdr:nvSpPr>
        <xdr:cNvPr id="81" name="Oval 89"/>
        <xdr:cNvSpPr>
          <a:spLocks/>
        </xdr:cNvSpPr>
      </xdr:nvSpPr>
      <xdr:spPr>
        <a:xfrm>
          <a:off x="3438525" y="27241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2</a:t>
          </a:r>
        </a:p>
      </xdr:txBody>
    </xdr:sp>
    <xdr:clientData/>
  </xdr:twoCellAnchor>
  <xdr:twoCellAnchor>
    <xdr:from>
      <xdr:col>17</xdr:col>
      <xdr:colOff>38100</xdr:colOff>
      <xdr:row>23</xdr:row>
      <xdr:rowOff>0</xdr:rowOff>
    </xdr:from>
    <xdr:to>
      <xdr:col>17</xdr:col>
      <xdr:colOff>161925</xdr:colOff>
      <xdr:row>24</xdr:row>
      <xdr:rowOff>0</xdr:rowOff>
    </xdr:to>
    <xdr:sp>
      <xdr:nvSpPr>
        <xdr:cNvPr id="82" name="Oval 90"/>
        <xdr:cNvSpPr>
          <a:spLocks/>
        </xdr:cNvSpPr>
      </xdr:nvSpPr>
      <xdr:spPr>
        <a:xfrm>
          <a:off x="3438525" y="28479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F63"/>
  <sheetViews>
    <sheetView view="pageBreakPreview" zoomScaleSheetLayoutView="100" workbookViewId="0" topLeftCell="A1">
      <selection activeCell="S6" sqref="S6"/>
    </sheetView>
  </sheetViews>
  <sheetFormatPr defaultColWidth="8.88671875" defaultRowHeight="13.5"/>
  <cols>
    <col min="1" max="28" width="2.77734375" style="156" customWidth="1"/>
    <col min="29" max="38" width="2.77734375" style="155" customWidth="1"/>
    <col min="39" max="16384" width="8.88671875" style="156" customWidth="1"/>
  </cols>
  <sheetData>
    <row r="1" spans="1:32" ht="11.25" customHeight="1">
      <c r="A1" s="221" t="s">
        <v>609</v>
      </c>
      <c r="B1" s="221"/>
      <c r="C1" s="221"/>
      <c r="D1" s="221"/>
      <c r="E1" s="221"/>
      <c r="F1" s="221"/>
      <c r="G1" s="221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3"/>
      <c r="AD1" s="154"/>
      <c r="AE1" s="154"/>
      <c r="AF1" s="154"/>
    </row>
    <row r="2" spans="1:29" ht="11.25" customHeight="1">
      <c r="A2" s="222"/>
      <c r="B2" s="222"/>
      <c r="C2" s="222"/>
      <c r="D2" s="222"/>
      <c r="E2" s="222"/>
      <c r="F2" s="222"/>
      <c r="G2" s="222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  <c r="W2" s="158"/>
      <c r="X2" s="158"/>
      <c r="Y2" s="158"/>
      <c r="Z2" s="158"/>
      <c r="AA2" s="158"/>
      <c r="AB2" s="158"/>
      <c r="AC2" s="159"/>
    </row>
    <row r="3" spans="1:32" ht="11.25" customHeight="1">
      <c r="A3" s="212" t="str">
        <f>title</f>
        <v>S T R E N G T H     C A L.     o f     R E C T A N G U L A R     V E S S E L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160"/>
      <c r="AD3" s="154"/>
      <c r="AE3" s="154"/>
      <c r="AF3" s="154"/>
    </row>
    <row r="4" spans="1:32" ht="11.2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160"/>
      <c r="AD4" s="154"/>
      <c r="AE4" s="154"/>
      <c r="AF4" s="154"/>
    </row>
    <row r="5" spans="1:32" ht="11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58"/>
      <c r="S5" s="158"/>
      <c r="T5" s="158"/>
      <c r="U5" s="157" t="s">
        <v>610</v>
      </c>
      <c r="V5" s="158"/>
      <c r="W5" s="158"/>
      <c r="X5" s="210" t="s">
        <v>660</v>
      </c>
      <c r="Y5" s="210"/>
      <c r="Z5" s="210"/>
      <c r="AA5" s="210"/>
      <c r="AB5" s="210"/>
      <c r="AC5" s="153"/>
      <c r="AD5" s="154"/>
      <c r="AE5" s="154"/>
      <c r="AF5" s="154"/>
    </row>
    <row r="6" spans="1:32" ht="11.2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 t="s">
        <v>611</v>
      </c>
      <c r="V6" s="158"/>
      <c r="W6" s="158"/>
      <c r="X6" s="211" t="s">
        <v>784</v>
      </c>
      <c r="Y6" s="211"/>
      <c r="Z6" s="211"/>
      <c r="AA6" s="211"/>
      <c r="AB6" s="211"/>
      <c r="AC6" s="153"/>
      <c r="AD6" s="154"/>
      <c r="AE6" s="154"/>
      <c r="AF6" s="154"/>
    </row>
    <row r="7" spans="1:32" ht="11.2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 t="s">
        <v>612</v>
      </c>
      <c r="V7" s="158"/>
      <c r="W7" s="158"/>
      <c r="X7" s="161">
        <v>0</v>
      </c>
      <c r="Y7" s="162"/>
      <c r="Z7" s="162"/>
      <c r="AA7" s="162"/>
      <c r="AB7" s="162"/>
      <c r="AC7" s="153"/>
      <c r="AD7" s="154"/>
      <c r="AE7" s="154"/>
      <c r="AF7" s="154"/>
    </row>
    <row r="8" spans="1:29" ht="11.25" customHeight="1">
      <c r="A8" s="157"/>
      <c r="B8" s="163" t="s">
        <v>613</v>
      </c>
      <c r="C8" s="38" t="s">
        <v>614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 t="s">
        <v>615</v>
      </c>
      <c r="V8" s="158"/>
      <c r="W8" s="158"/>
      <c r="X8" s="158"/>
      <c r="Y8" s="164">
        <v>1</v>
      </c>
      <c r="Z8" s="161" t="s">
        <v>616</v>
      </c>
      <c r="AA8" s="165">
        <v>1</v>
      </c>
      <c r="AB8" s="161"/>
      <c r="AC8" s="159"/>
    </row>
    <row r="9" spans="1:29" ht="11.2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158"/>
      <c r="X9" s="158"/>
      <c r="Y9" s="158"/>
      <c r="Z9" s="158"/>
      <c r="AA9" s="158"/>
      <c r="AB9" s="158"/>
      <c r="AC9" s="159"/>
    </row>
    <row r="10" spans="1:29" ht="11.25" customHeight="1">
      <c r="A10" s="166"/>
      <c r="B10" s="166"/>
      <c r="C10" s="166" t="s">
        <v>659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58"/>
      <c r="W10" s="158"/>
      <c r="X10" s="158"/>
      <c r="Y10" s="158"/>
      <c r="Z10" s="158"/>
      <c r="AA10" s="158"/>
      <c r="AB10" s="158"/>
      <c r="AC10" s="159"/>
    </row>
    <row r="11" spans="1:29" ht="11.25" customHeight="1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58"/>
      <c r="W11" s="158"/>
      <c r="X11" s="158"/>
      <c r="Y11" s="158"/>
      <c r="Z11" s="158"/>
      <c r="AA11" s="158"/>
      <c r="AB11" s="158"/>
      <c r="AC11" s="159"/>
    </row>
    <row r="12" spans="1:29" ht="11.25" customHeight="1">
      <c r="A12" s="166"/>
      <c r="B12" s="163" t="s">
        <v>617</v>
      </c>
      <c r="C12" s="38" t="s">
        <v>618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58"/>
      <c r="W12" s="158"/>
      <c r="X12" s="158"/>
      <c r="Y12" s="158"/>
      <c r="Z12" s="158"/>
      <c r="AA12" s="158"/>
      <c r="AB12" s="158"/>
      <c r="AC12" s="159"/>
    </row>
    <row r="13" spans="1:29" ht="11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8"/>
      <c r="W13" s="158"/>
      <c r="X13" s="158"/>
      <c r="Y13" s="158"/>
      <c r="Z13" s="158"/>
      <c r="AA13" s="158"/>
      <c r="AB13" s="158"/>
      <c r="AC13" s="159"/>
    </row>
    <row r="14" spans="1:29" ht="11.25" customHeight="1">
      <c r="A14" s="157"/>
      <c r="B14" s="157"/>
      <c r="C14" s="157" t="s">
        <v>619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8"/>
      <c r="W14" s="158"/>
      <c r="X14" s="158"/>
      <c r="Y14" s="158"/>
      <c r="Z14" s="158"/>
      <c r="AA14" s="158"/>
      <c r="AB14" s="158"/>
      <c r="AC14" s="159"/>
    </row>
    <row r="15" spans="1:29" ht="11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58"/>
      <c r="W15" s="158"/>
      <c r="X15" s="158"/>
      <c r="Y15" s="158"/>
      <c r="Z15" s="158"/>
      <c r="AA15" s="158"/>
      <c r="AB15" s="158"/>
      <c r="AC15" s="159"/>
    </row>
    <row r="16" spans="1:21" ht="11.25" customHeight="1">
      <c r="A16" s="166"/>
      <c r="B16" s="166"/>
      <c r="C16" s="167" t="s">
        <v>620</v>
      </c>
      <c r="D16" s="168" t="s">
        <v>662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ht="11.25" customHeight="1">
      <c r="A17" s="166"/>
      <c r="B17" s="166"/>
      <c r="C17" s="166"/>
      <c r="D17" s="166" t="s">
        <v>663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</row>
    <row r="18" spans="1:21" ht="11.25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</row>
    <row r="19" spans="1:21" ht="11.25" customHeight="1">
      <c r="A19" s="166"/>
      <c r="B19" s="163" t="s">
        <v>621</v>
      </c>
      <c r="C19" s="38" t="s">
        <v>622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</row>
    <row r="20" spans="1:21" ht="11.25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</row>
    <row r="21" spans="1:26" ht="11.25" customHeight="1">
      <c r="A21" s="166"/>
      <c r="B21" s="166"/>
      <c r="C21" s="223" t="s">
        <v>623</v>
      </c>
      <c r="D21" s="223"/>
      <c r="E21" s="223"/>
      <c r="F21" s="223"/>
      <c r="G21" s="223"/>
      <c r="H21" s="223"/>
      <c r="I21" s="223"/>
      <c r="J21" s="206" t="s">
        <v>611</v>
      </c>
      <c r="K21" s="223"/>
      <c r="L21" s="207"/>
      <c r="M21" s="206" t="s">
        <v>624</v>
      </c>
      <c r="N21" s="223"/>
      <c r="O21" s="207"/>
      <c r="P21" s="223" t="s">
        <v>625</v>
      </c>
      <c r="Q21" s="223"/>
      <c r="R21" s="223"/>
      <c r="S21" s="223"/>
      <c r="T21" s="223"/>
      <c r="U21" s="223"/>
      <c r="V21" s="223"/>
      <c r="W21" s="223"/>
      <c r="X21" s="223"/>
      <c r="Y21" s="223"/>
      <c r="Z21" s="223"/>
    </row>
    <row r="22" spans="1:26" ht="11.25" customHeight="1">
      <c r="A22" s="166"/>
      <c r="B22" s="166"/>
      <c r="C22" s="185" t="s">
        <v>788</v>
      </c>
      <c r="D22" s="185"/>
      <c r="E22" s="185"/>
      <c r="F22" s="185"/>
      <c r="G22" s="185"/>
      <c r="H22" s="185"/>
      <c r="I22" s="185"/>
      <c r="J22" s="215" t="s">
        <v>787</v>
      </c>
      <c r="K22" s="213"/>
      <c r="L22" s="213"/>
      <c r="M22" s="214">
        <v>0</v>
      </c>
      <c r="N22" s="208"/>
      <c r="O22" s="20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ht="11.25" customHeight="1">
      <c r="A23" s="166"/>
      <c r="B23" s="166"/>
      <c r="C23" s="186" t="s">
        <v>789</v>
      </c>
      <c r="D23" s="186"/>
      <c r="E23" s="186"/>
      <c r="F23" s="186"/>
      <c r="G23" s="186"/>
      <c r="H23" s="186"/>
      <c r="I23" s="186"/>
      <c r="J23" s="216" t="s">
        <v>786</v>
      </c>
      <c r="K23" s="217"/>
      <c r="L23" s="217"/>
      <c r="M23" s="218">
        <v>1</v>
      </c>
      <c r="N23" s="219"/>
      <c r="O23" s="22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ht="11.25" customHeight="1">
      <c r="A24" s="166"/>
      <c r="B24" s="166"/>
      <c r="C24" s="186" t="s">
        <v>793</v>
      </c>
      <c r="D24" s="186"/>
      <c r="E24" s="186"/>
      <c r="F24" s="186"/>
      <c r="G24" s="186"/>
      <c r="H24" s="186"/>
      <c r="I24" s="186"/>
      <c r="J24" s="216" t="s">
        <v>792</v>
      </c>
      <c r="K24" s="217"/>
      <c r="L24" s="217"/>
      <c r="M24" s="218">
        <v>2</v>
      </c>
      <c r="N24" s="219"/>
      <c r="O24" s="22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ht="11.25" customHeight="1">
      <c r="A25" s="166"/>
      <c r="B25" s="166"/>
      <c r="C25" s="186"/>
      <c r="D25" s="186"/>
      <c r="E25" s="186"/>
      <c r="F25" s="186"/>
      <c r="G25" s="186"/>
      <c r="H25" s="186"/>
      <c r="I25" s="186"/>
      <c r="J25" s="216"/>
      <c r="K25" s="217"/>
      <c r="L25" s="217"/>
      <c r="M25" s="218"/>
      <c r="N25" s="219"/>
      <c r="O25" s="22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ht="11.25" customHeight="1">
      <c r="A26" s="166"/>
      <c r="B26" s="166"/>
      <c r="C26" s="186"/>
      <c r="D26" s="186"/>
      <c r="E26" s="186"/>
      <c r="F26" s="186"/>
      <c r="G26" s="186"/>
      <c r="H26" s="186"/>
      <c r="I26" s="186"/>
      <c r="J26" s="216"/>
      <c r="K26" s="217"/>
      <c r="L26" s="217"/>
      <c r="M26" s="218"/>
      <c r="N26" s="219"/>
      <c r="O26" s="22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ht="11.25" customHeight="1">
      <c r="A27" s="166"/>
      <c r="B27" s="166"/>
      <c r="C27" s="186"/>
      <c r="D27" s="186"/>
      <c r="E27" s="186"/>
      <c r="F27" s="186"/>
      <c r="G27" s="186"/>
      <c r="H27" s="186"/>
      <c r="I27" s="186"/>
      <c r="J27" s="216"/>
      <c r="K27" s="217"/>
      <c r="L27" s="217"/>
      <c r="M27" s="218"/>
      <c r="N27" s="219"/>
      <c r="O27" s="22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ht="11.25" customHeight="1">
      <c r="A28" s="166"/>
      <c r="B28" s="166"/>
      <c r="C28" s="187"/>
      <c r="D28" s="187"/>
      <c r="E28" s="187"/>
      <c r="F28" s="187"/>
      <c r="G28" s="187"/>
      <c r="H28" s="187"/>
      <c r="I28" s="187"/>
      <c r="J28" s="199"/>
      <c r="K28" s="200"/>
      <c r="L28" s="200"/>
      <c r="M28" s="201"/>
      <c r="N28" s="202"/>
      <c r="O28" s="20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1" ht="11.25" customHeight="1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</row>
    <row r="30" spans="1:21" ht="11.25" customHeight="1">
      <c r="A30" s="166"/>
      <c r="B30" s="163" t="s">
        <v>626</v>
      </c>
      <c r="C30" s="38" t="s">
        <v>627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</row>
    <row r="31" spans="1:21" ht="11.25" customHeight="1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</row>
    <row r="32" spans="1:29" ht="11.25" customHeight="1">
      <c r="A32" s="157"/>
      <c r="B32" s="157"/>
      <c r="C32" s="38" t="s">
        <v>628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58"/>
      <c r="X32" s="158"/>
      <c r="Y32" s="158"/>
      <c r="Z32" s="158"/>
      <c r="AA32" s="158"/>
      <c r="AB32" s="158"/>
      <c r="AC32" s="159"/>
    </row>
    <row r="33" spans="1:29" ht="11.2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8"/>
      <c r="W33" s="158"/>
      <c r="X33" s="158"/>
      <c r="Y33" s="158"/>
      <c r="Z33" s="158"/>
      <c r="AA33" s="158"/>
      <c r="AB33" s="158"/>
      <c r="AC33" s="159"/>
    </row>
    <row r="34" spans="1:29" ht="11.25" customHeight="1">
      <c r="A34" s="157"/>
      <c r="B34" s="157"/>
      <c r="C34" s="157"/>
      <c r="D34" s="38" t="s">
        <v>664</v>
      </c>
      <c r="E34" s="157"/>
      <c r="F34" s="157"/>
      <c r="G34" s="157"/>
      <c r="H34" s="157"/>
      <c r="I34" s="38" t="s">
        <v>665</v>
      </c>
      <c r="J34" s="157"/>
      <c r="K34" s="157"/>
      <c r="L34" s="157"/>
      <c r="M34" s="157"/>
      <c r="N34" s="38"/>
      <c r="O34" s="157"/>
      <c r="P34" s="157"/>
      <c r="Q34" s="157"/>
      <c r="R34" s="157"/>
      <c r="S34" s="157"/>
      <c r="T34" s="157"/>
      <c r="U34" s="157"/>
      <c r="V34" s="158"/>
      <c r="W34" s="158"/>
      <c r="X34" s="158"/>
      <c r="Y34" s="158"/>
      <c r="Z34" s="158"/>
      <c r="AA34" s="158"/>
      <c r="AB34" s="158"/>
      <c r="AC34" s="159"/>
    </row>
    <row r="35" spans="1:29" ht="11.2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38"/>
      <c r="O35" s="157"/>
      <c r="P35" s="157"/>
      <c r="Q35" s="157"/>
      <c r="R35" s="157"/>
      <c r="S35" s="157"/>
      <c r="T35" s="157"/>
      <c r="U35" s="157"/>
      <c r="V35" s="158"/>
      <c r="W35" s="158"/>
      <c r="X35" s="158"/>
      <c r="Y35" s="158"/>
      <c r="Z35" s="158"/>
      <c r="AA35" s="158"/>
      <c r="AB35" s="158"/>
      <c r="AC35" s="159"/>
    </row>
    <row r="36" spans="1:29" ht="11.25" customHeight="1">
      <c r="A36" s="157"/>
      <c r="B36" s="157"/>
      <c r="C36" s="157"/>
      <c r="D36" s="157" t="s">
        <v>790</v>
      </c>
      <c r="E36" s="157"/>
      <c r="F36" s="157"/>
      <c r="G36" s="157"/>
      <c r="H36" s="157"/>
      <c r="I36" s="157" t="s">
        <v>791</v>
      </c>
      <c r="J36" s="157"/>
      <c r="K36" s="157"/>
      <c r="L36" s="157"/>
      <c r="M36" s="157"/>
      <c r="N36" s="38"/>
      <c r="O36" s="157"/>
      <c r="P36" s="157"/>
      <c r="Q36" s="157"/>
      <c r="R36" s="157"/>
      <c r="S36" s="157"/>
      <c r="T36" s="157"/>
      <c r="U36" s="157"/>
      <c r="V36" s="158"/>
      <c r="W36" s="158"/>
      <c r="X36" s="158"/>
      <c r="Y36" s="158"/>
      <c r="Z36" s="158"/>
      <c r="AA36" s="158"/>
      <c r="AB36" s="158"/>
      <c r="AC36" s="159"/>
    </row>
    <row r="37" spans="1:29" ht="11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38"/>
      <c r="O37" s="157"/>
      <c r="P37" s="157"/>
      <c r="Q37" s="157"/>
      <c r="R37" s="157"/>
      <c r="S37" s="157"/>
      <c r="T37" s="157"/>
      <c r="U37" s="157"/>
      <c r="V37" s="158"/>
      <c r="W37" s="158"/>
      <c r="X37" s="158"/>
      <c r="Y37" s="158"/>
      <c r="Z37" s="158"/>
      <c r="AA37" s="158"/>
      <c r="AB37" s="158"/>
      <c r="AC37" s="159"/>
    </row>
    <row r="38" spans="1:29" ht="11.2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38"/>
      <c r="O38" s="157"/>
      <c r="P38" s="157"/>
      <c r="Q38" s="157"/>
      <c r="R38" s="157"/>
      <c r="S38" s="157"/>
      <c r="T38" s="157"/>
      <c r="U38" s="157"/>
      <c r="V38" s="158"/>
      <c r="W38" s="158"/>
      <c r="X38" s="158"/>
      <c r="Y38" s="158"/>
      <c r="Z38" s="158"/>
      <c r="AA38" s="158"/>
      <c r="AB38" s="158"/>
      <c r="AC38" s="159"/>
    </row>
    <row r="39" spans="1:29" ht="11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38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72"/>
    </row>
    <row r="40" spans="1:29" ht="11.2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38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72"/>
    </row>
    <row r="41" spans="1:29" ht="11.2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38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72"/>
    </row>
    <row r="42" spans="1:29" ht="11.25" customHeight="1">
      <c r="A42" s="157"/>
      <c r="B42" s="157"/>
      <c r="C42" s="38" t="s">
        <v>629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8"/>
      <c r="W42" s="158"/>
      <c r="X42" s="158"/>
      <c r="Y42" s="158"/>
      <c r="Z42" s="158"/>
      <c r="AA42" s="158"/>
      <c r="AB42" s="158"/>
      <c r="AC42" s="159"/>
    </row>
    <row r="43" spans="1:29" ht="11.2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58"/>
      <c r="W43" s="158"/>
      <c r="X43" s="158"/>
      <c r="Y43" s="158"/>
      <c r="Z43" s="158"/>
      <c r="AA43" s="158"/>
      <c r="AB43" s="158"/>
      <c r="AC43" s="159"/>
    </row>
    <row r="44" spans="1:29" ht="11.25" customHeight="1">
      <c r="A44" s="157"/>
      <c r="B44" s="157"/>
      <c r="C44" s="157"/>
      <c r="D44" s="38" t="s">
        <v>630</v>
      </c>
      <c r="E44" s="157"/>
      <c r="F44" s="157"/>
      <c r="G44" s="157"/>
      <c r="H44" s="157"/>
      <c r="I44" s="157"/>
      <c r="J44" s="157"/>
      <c r="K44" s="157" t="s">
        <v>631</v>
      </c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72"/>
    </row>
    <row r="45" spans="1:29" ht="11.25" customHeight="1">
      <c r="A45" s="157"/>
      <c r="B45" s="157"/>
      <c r="C45" s="157"/>
      <c r="D45" s="173" t="s">
        <v>632</v>
      </c>
      <c r="E45" s="157"/>
      <c r="F45" s="157"/>
      <c r="G45" s="157"/>
      <c r="H45" s="157"/>
      <c r="I45" s="157"/>
      <c r="J45" s="157"/>
      <c r="K45" s="157" t="s">
        <v>633</v>
      </c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72"/>
    </row>
    <row r="46" spans="1:29" ht="11.25" customHeight="1">
      <c r="A46" s="157"/>
      <c r="B46" s="157"/>
      <c r="C46" s="157"/>
      <c r="D46" s="38" t="s">
        <v>634</v>
      </c>
      <c r="E46" s="157"/>
      <c r="F46" s="157"/>
      <c r="G46" s="157"/>
      <c r="H46" s="157"/>
      <c r="I46" s="157"/>
      <c r="J46" s="157"/>
      <c r="K46" s="157" t="s">
        <v>635</v>
      </c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72"/>
    </row>
    <row r="47" spans="1:29" ht="11.25" customHeight="1">
      <c r="A47" s="157"/>
      <c r="B47" s="157"/>
      <c r="C47" s="157"/>
      <c r="D47" s="38" t="s">
        <v>636</v>
      </c>
      <c r="E47" s="157"/>
      <c r="F47" s="157"/>
      <c r="G47" s="157"/>
      <c r="H47" s="157"/>
      <c r="I47" s="157"/>
      <c r="J47" s="157"/>
      <c r="K47" s="157" t="s">
        <v>637</v>
      </c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72"/>
    </row>
    <row r="48" spans="1:29" ht="11.25" customHeight="1">
      <c r="A48" s="157"/>
      <c r="B48" s="157"/>
      <c r="C48" s="157"/>
      <c r="D48" s="38" t="s">
        <v>638</v>
      </c>
      <c r="E48" s="157"/>
      <c r="F48" s="157"/>
      <c r="G48" s="157"/>
      <c r="H48" s="157"/>
      <c r="I48" s="157"/>
      <c r="J48" s="157"/>
      <c r="K48" s="157" t="s">
        <v>639</v>
      </c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72"/>
    </row>
    <row r="49" spans="1:29" ht="11.2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72"/>
    </row>
    <row r="50" spans="1:29" ht="11.25" customHeight="1">
      <c r="A50" s="157"/>
      <c r="B50" s="163" t="s">
        <v>640</v>
      </c>
      <c r="C50" s="38" t="s">
        <v>641</v>
      </c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72"/>
    </row>
    <row r="51" spans="1:29" ht="11.2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72"/>
    </row>
    <row r="52" spans="1:29" ht="11.25" customHeight="1">
      <c r="A52" s="157"/>
      <c r="B52" s="157"/>
      <c r="C52" s="157" t="s">
        <v>642</v>
      </c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72"/>
    </row>
    <row r="53" spans="1:29" ht="11.25" customHeight="1">
      <c r="A53" s="157"/>
      <c r="B53" s="157"/>
      <c r="C53" s="157" t="s">
        <v>643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72"/>
    </row>
    <row r="54" spans="1:29" ht="11.25" customHeight="1">
      <c r="A54" s="157"/>
      <c r="B54" s="157"/>
      <c r="C54" s="174" t="s">
        <v>644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72"/>
    </row>
    <row r="55" spans="1:29" ht="11.2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72"/>
    </row>
    <row r="56" spans="1:29" ht="11.25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72"/>
    </row>
    <row r="57" spans="1:29" ht="11.25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72"/>
    </row>
    <row r="58" spans="1:29" ht="11.25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72"/>
    </row>
    <row r="59" spans="1:29" ht="11.2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72"/>
    </row>
    <row r="60" spans="1:29" ht="11.25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72"/>
    </row>
    <row r="61" spans="1:29" ht="11.2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72"/>
    </row>
    <row r="62" spans="1:30" ht="11.2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2"/>
      <c r="AD62" s="176"/>
    </row>
    <row r="63" spans="1:30" ht="11.25" customHeight="1">
      <c r="A63" s="166" t="str">
        <f>cosymbol</f>
        <v> NTES</v>
      </c>
      <c r="AB63" s="177" t="str">
        <f>coname</f>
        <v>Narai Thermal Engineering Services </v>
      </c>
      <c r="AC63" s="176"/>
      <c r="AD63" s="176"/>
    </row>
    <row r="64" ht="11.25" customHeight="1"/>
    <row r="111" ht="13.5" customHeight="1"/>
    <row r="112" ht="13.5" customHeight="1"/>
  </sheetData>
  <mergeCells count="22">
    <mergeCell ref="J24:L24"/>
    <mergeCell ref="M24:O24"/>
    <mergeCell ref="J26:L26"/>
    <mergeCell ref="M26:O26"/>
    <mergeCell ref="J25:L25"/>
    <mergeCell ref="M25:O25"/>
    <mergeCell ref="J28:L28"/>
    <mergeCell ref="M28:O28"/>
    <mergeCell ref="J27:L27"/>
    <mergeCell ref="M27:O27"/>
    <mergeCell ref="X5:AB5"/>
    <mergeCell ref="X6:AB6"/>
    <mergeCell ref="A3:AB4"/>
    <mergeCell ref="J21:L21"/>
    <mergeCell ref="M21:O21"/>
    <mergeCell ref="P21:Z21"/>
    <mergeCell ref="J23:L23"/>
    <mergeCell ref="M23:O23"/>
    <mergeCell ref="A1:G2"/>
    <mergeCell ref="C21:I21"/>
    <mergeCell ref="J22:L22"/>
    <mergeCell ref="M22:O22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W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394</v>
      </c>
      <c r="C6" s="6"/>
      <c r="D6" s="6"/>
      <c r="E6" s="7" t="str">
        <f>project</f>
        <v>Programming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395</v>
      </c>
      <c r="AA6" s="3"/>
      <c r="AB6" s="3"/>
      <c r="AC6" s="377" t="str">
        <f>docno</f>
        <v>SC - RPV - 100</v>
      </c>
      <c r="AD6" s="377"/>
      <c r="AE6" s="377"/>
      <c r="AF6" s="377"/>
      <c r="AG6" s="377"/>
      <c r="AH6" s="4"/>
    </row>
    <row r="7" spans="1:34" ht="9.75" customHeight="1">
      <c r="A7" s="6"/>
      <c r="B7" s="6" t="s">
        <v>396</v>
      </c>
      <c r="C7" s="6"/>
      <c r="D7" s="6"/>
      <c r="E7" s="7" t="str">
        <f>itemno</f>
        <v>13-17 Example, P430~1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397</v>
      </c>
      <c r="AA7" s="3"/>
      <c r="AB7" s="3"/>
      <c r="AC7" s="311">
        <v>7</v>
      </c>
      <c r="AD7" s="311"/>
      <c r="AE7" s="8" t="s">
        <v>398</v>
      </c>
      <c r="AF7" s="304" t="str">
        <f>sheetqty</f>
        <v>x</v>
      </c>
      <c r="AG7" s="304"/>
      <c r="AH7" s="4"/>
    </row>
    <row r="8" spans="1:34" ht="9.75" customHeight="1">
      <c r="A8" s="6"/>
      <c r="B8" s="6" t="s">
        <v>399</v>
      </c>
      <c r="C8" s="6"/>
      <c r="D8" s="6"/>
      <c r="E8" s="7" t="str">
        <f>service</f>
        <v>Rectangular Vessel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400</v>
      </c>
      <c r="AA8" s="3"/>
      <c r="AB8" s="3"/>
      <c r="AC8" s="377" t="str">
        <f>date</f>
        <v>2018.  2.  10.</v>
      </c>
      <c r="AD8" s="377"/>
      <c r="AE8" s="377"/>
      <c r="AF8" s="377"/>
      <c r="AG8" s="377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401</v>
      </c>
      <c r="AA9" s="3"/>
      <c r="AB9" s="3"/>
      <c r="AC9" s="377">
        <f>revno</f>
        <v>0</v>
      </c>
      <c r="AD9" s="377"/>
      <c r="AE9" s="377"/>
      <c r="AF9" s="377"/>
      <c r="AG9" s="377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402</v>
      </c>
      <c r="D11" s="31" t="s">
        <v>465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6" ht="9.75" customHeight="1">
      <c r="A13" s="6"/>
      <c r="B13" s="6"/>
      <c r="C13" s="6"/>
      <c r="D13" s="7" t="s">
        <v>403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</row>
    <row r="14" spans="1:32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  <c r="AD14" s="360" t="s">
        <v>404</v>
      </c>
      <c r="AE14" s="360"/>
      <c r="AF14" s="360"/>
    </row>
    <row r="15" spans="1:21" ht="9.75" customHeight="1">
      <c r="A15" s="1"/>
      <c r="B15" s="1"/>
      <c r="C15" s="1"/>
      <c r="D15" s="1"/>
      <c r="E15" s="27" t="s">
        <v>405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4" ht="9.75" customHeight="1">
      <c r="A16" s="1"/>
      <c r="B16" s="1"/>
      <c r="C16" s="1"/>
      <c r="D16" s="1"/>
      <c r="E16" s="1"/>
      <c r="F16" s="110" t="s">
        <v>241</v>
      </c>
      <c r="G16" s="110"/>
      <c r="H16" s="103" t="s">
        <v>406</v>
      </c>
      <c r="I16" s="1" t="s">
        <v>551</v>
      </c>
      <c r="J16" s="1"/>
      <c r="K16" s="1"/>
      <c r="L16" s="21" t="s">
        <v>44</v>
      </c>
      <c r="M16" s="275">
        <f>dpress</f>
        <v>-115</v>
      </c>
      <c r="N16" s="275"/>
      <c r="O16" s="21" t="s">
        <v>45</v>
      </c>
      <c r="P16" s="273">
        <f>sbh3</f>
        <v>155.54999999999998</v>
      </c>
      <c r="Q16" s="273"/>
      <c r="R16" s="121" t="s">
        <v>78</v>
      </c>
      <c r="S16" s="275">
        <f>st1</f>
        <v>15.875</v>
      </c>
      <c r="T16" s="275"/>
      <c r="U16" s="8" t="s">
        <v>466</v>
      </c>
      <c r="V16" s="304">
        <f>jen</f>
        <v>0.8</v>
      </c>
      <c r="W16" s="304"/>
      <c r="X16" s="55" t="s">
        <v>406</v>
      </c>
      <c r="Y16" s="383">
        <f>M16*P16/S16/V16</f>
        <v>-1408.5236220472439</v>
      </c>
      <c r="Z16" s="383"/>
      <c r="AA16" s="383"/>
      <c r="AB16" s="54" t="str">
        <f>upsx(dpu)</f>
        <v>psi</v>
      </c>
      <c r="AC16" s="101" t="str">
        <f>IF(Y16&lt;=AD16,"&lt;","&gt;")</f>
        <v>&lt;</v>
      </c>
      <c r="AD16" s="413">
        <f>mas</f>
        <v>18800</v>
      </c>
      <c r="AE16" s="413"/>
      <c r="AF16" s="413"/>
      <c r="AG16" s="109" t="str">
        <f>IF(ABS(Y16)&lt;=ABS(AD16),"OK !","NO !")</f>
        <v>OK !</v>
      </c>
      <c r="AH16" s="109"/>
    </row>
    <row r="17" spans="1:29" ht="9.75" customHeight="1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3"/>
      <c r="W17" s="3"/>
      <c r="X17" s="3"/>
      <c r="Y17" s="3"/>
      <c r="Z17" s="3"/>
      <c r="AA17" s="3"/>
      <c r="AB17" s="3"/>
      <c r="AC17" s="3"/>
    </row>
    <row r="18" spans="1:29" ht="9.75" customHeight="1">
      <c r="A18" s="1"/>
      <c r="B18" s="1"/>
      <c r="C18" s="1"/>
      <c r="D18" s="1"/>
      <c r="E18" s="27" t="s">
        <v>421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AC18" s="3"/>
    </row>
    <row r="19" spans="1:34" ht="9.75" customHeight="1">
      <c r="A19" s="6"/>
      <c r="B19" s="6"/>
      <c r="C19" s="6"/>
      <c r="D19" s="6"/>
      <c r="E19" s="6"/>
      <c r="F19" s="27" t="s">
        <v>244</v>
      </c>
      <c r="G19" s="1"/>
      <c r="H19" s="1" t="s">
        <v>406</v>
      </c>
      <c r="I19" s="1" t="s">
        <v>544</v>
      </c>
      <c r="J19" s="1"/>
      <c r="K19" s="1"/>
      <c r="L19" s="1" t="s">
        <v>406</v>
      </c>
      <c r="M19" s="275">
        <f>dpress</f>
        <v>-115</v>
      </c>
      <c r="N19" s="275"/>
      <c r="O19" s="21" t="s">
        <v>414</v>
      </c>
      <c r="P19" s="273">
        <f>sh</f>
        <v>152.39999999999998</v>
      </c>
      <c r="Q19" s="273"/>
      <c r="R19" s="121" t="s">
        <v>548</v>
      </c>
      <c r="S19" s="275">
        <f>lt2</f>
        <v>25.4</v>
      </c>
      <c r="T19" s="275"/>
      <c r="U19" s="8" t="s">
        <v>466</v>
      </c>
      <c r="V19" s="304">
        <f>jem</f>
        <v>0.6</v>
      </c>
      <c r="W19" s="304"/>
      <c r="X19" s="8" t="s">
        <v>406</v>
      </c>
      <c r="Y19" s="366">
        <f>M19*P19/2/S19/V19</f>
        <v>-574.9999999999999</v>
      </c>
      <c r="Z19" s="366"/>
      <c r="AA19" s="366"/>
      <c r="AB19" s="2" t="str">
        <f>upsx(dpu)</f>
        <v>psi</v>
      </c>
      <c r="AC19" s="26" t="str">
        <f>IF(Y19&lt;=AD19,"&lt;","&gt;")</f>
        <v>&lt;</v>
      </c>
      <c r="AD19" s="365">
        <f>mas</f>
        <v>18800</v>
      </c>
      <c r="AE19" s="365"/>
      <c r="AF19" s="365"/>
      <c r="AG19" s="364" t="str">
        <f>IF(ABS(Y19)&lt;=ABS(AD19),"OK !","NO !")</f>
        <v>OK !</v>
      </c>
      <c r="AH19" s="364"/>
    </row>
    <row r="20" spans="1:29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AC20" s="3"/>
    </row>
    <row r="21" spans="1:29" ht="9.75" customHeight="1">
      <c r="A21" s="6"/>
      <c r="B21" s="6"/>
      <c r="C21" s="6"/>
      <c r="D21" s="6"/>
      <c r="E21" s="27" t="s">
        <v>422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  <c r="AC21" s="3"/>
    </row>
    <row r="22" spans="1:32" ht="9.75" customHeight="1">
      <c r="A22" s="1"/>
      <c r="B22" s="1"/>
      <c r="C22" s="1"/>
      <c r="D22" s="1"/>
      <c r="E22" s="1"/>
      <c r="F22" s="63" t="s">
        <v>315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3"/>
      <c r="W22" s="64" t="s">
        <v>287</v>
      </c>
      <c r="X22" s="3"/>
      <c r="AB22" s="3"/>
      <c r="AC22" s="3"/>
      <c r="AD22" s="3"/>
      <c r="AE22" s="3"/>
      <c r="AF22" s="6"/>
    </row>
    <row r="23" spans="1:32" ht="9.75" customHeight="1">
      <c r="A23" s="6"/>
      <c r="B23" s="6"/>
      <c r="C23" s="6"/>
      <c r="D23" s="6"/>
      <c r="E23" s="6"/>
      <c r="F23" s="43" t="s">
        <v>470</v>
      </c>
      <c r="G23" s="43" t="s">
        <v>52</v>
      </c>
      <c r="H23" s="43" t="s">
        <v>471</v>
      </c>
      <c r="I23" s="43"/>
      <c r="J23" s="43"/>
      <c r="K23" s="43"/>
      <c r="L23" s="43"/>
      <c r="M23" s="45" t="s">
        <v>52</v>
      </c>
      <c r="N23" s="445">
        <f>S19</f>
        <v>25.4</v>
      </c>
      <c r="O23" s="328"/>
      <c r="P23" s="45" t="s">
        <v>288</v>
      </c>
      <c r="Q23" s="278">
        <f>AD19</f>
        <v>18800</v>
      </c>
      <c r="R23" s="328"/>
      <c r="S23" s="45" t="s">
        <v>21</v>
      </c>
      <c r="T23" s="295">
        <v>2.1</v>
      </c>
      <c r="U23" s="295"/>
      <c r="V23" s="45" t="s">
        <v>78</v>
      </c>
      <c r="W23" s="328">
        <f>ABS(M19)</f>
        <v>115</v>
      </c>
      <c r="X23" s="328"/>
      <c r="Y23" s="43" t="s">
        <v>289</v>
      </c>
      <c r="Z23" s="43"/>
      <c r="AA23" s="43"/>
      <c r="AB23" s="43"/>
      <c r="AC23" s="43"/>
      <c r="AD23" s="45" t="s">
        <v>52</v>
      </c>
      <c r="AE23" s="443">
        <f>N23*(Q23*T23/W23)^0.5</f>
        <v>470.6232389539197</v>
      </c>
      <c r="AF23" s="443"/>
    </row>
    <row r="24" spans="1:32" ht="9.75" customHeight="1">
      <c r="A24" s="6"/>
      <c r="B24" s="6"/>
      <c r="C24" s="6"/>
      <c r="D24" s="6"/>
      <c r="E24" s="6"/>
      <c r="F24" s="43" t="s">
        <v>472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"/>
      <c r="X24" s="3"/>
      <c r="Y24" s="3"/>
      <c r="AC24" s="3"/>
      <c r="AD24" s="3"/>
      <c r="AE24" s="3"/>
      <c r="AF24" s="3"/>
    </row>
    <row r="25" spans="1:32" ht="9.75" customHeight="1">
      <c r="A25" s="1"/>
      <c r="B25" s="1"/>
      <c r="C25" s="1"/>
      <c r="D25" s="1"/>
      <c r="E25" s="1"/>
      <c r="F25" s="66" t="s">
        <v>292</v>
      </c>
      <c r="G25" s="43" t="s">
        <v>52</v>
      </c>
      <c r="H25" s="43" t="s">
        <v>485</v>
      </c>
      <c r="I25" s="43"/>
      <c r="J25" s="43" t="s">
        <v>52</v>
      </c>
      <c r="K25" s="328">
        <f>2*P16</f>
        <v>311.09999999999997</v>
      </c>
      <c r="L25" s="328"/>
      <c r="M25" s="45" t="s">
        <v>473</v>
      </c>
      <c r="N25" s="278">
        <f>AE23</f>
        <v>470.6232389539197</v>
      </c>
      <c r="O25" s="328"/>
      <c r="P25" s="45" t="s">
        <v>474</v>
      </c>
      <c r="Q25" s="330">
        <f>K25/N25</f>
        <v>0.6610383301332486</v>
      </c>
      <c r="R25" s="330"/>
      <c r="S25" s="43"/>
      <c r="T25" s="67" t="s">
        <v>475</v>
      </c>
      <c r="U25" s="43"/>
      <c r="V25" s="43" t="s">
        <v>476</v>
      </c>
      <c r="W25" s="45" t="s">
        <v>474</v>
      </c>
      <c r="X25" s="444">
        <f>jstresspara(Q25)</f>
        <v>3.1</v>
      </c>
      <c r="Y25" s="444"/>
      <c r="Z25" s="43"/>
      <c r="AA25" s="68" t="s">
        <v>477</v>
      </c>
      <c r="AB25" s="43"/>
      <c r="AC25" s="44"/>
      <c r="AD25" s="43"/>
      <c r="AE25" s="43"/>
      <c r="AF25" s="43"/>
    </row>
    <row r="26" spans="1:32" ht="9.75" customHeight="1">
      <c r="A26" s="6"/>
      <c r="B26" s="6"/>
      <c r="C26" s="6"/>
      <c r="D26" s="6"/>
      <c r="E26" s="6"/>
      <c r="F26" s="102" t="s">
        <v>478</v>
      </c>
      <c r="G26" s="44" t="s">
        <v>479</v>
      </c>
      <c r="H26" s="44" t="str">
        <f>IF(K25&gt;=AE23,"t2 ( S J / P )^0.5","t2 / β ( S J / P )^0.5")</f>
        <v>t2 / β ( S J / P )^0.5</v>
      </c>
      <c r="I26" s="44"/>
      <c r="J26" s="44"/>
      <c r="K26" s="44"/>
      <c r="L26" s="44"/>
      <c r="M26" s="45" t="s">
        <v>479</v>
      </c>
      <c r="N26" s="445">
        <f>N23</f>
        <v>25.4</v>
      </c>
      <c r="O26" s="328"/>
      <c r="P26" s="45" t="s">
        <v>480</v>
      </c>
      <c r="Q26" s="330">
        <f>IF(K25&gt;=AE23,1,Q25)</f>
        <v>0.6610383301332486</v>
      </c>
      <c r="R26" s="330"/>
      <c r="S26" s="45" t="s">
        <v>481</v>
      </c>
      <c r="T26" s="491">
        <f>Q23</f>
        <v>18800</v>
      </c>
      <c r="U26" s="491"/>
      <c r="V26" s="45" t="s">
        <v>482</v>
      </c>
      <c r="W26" s="328">
        <f>X25</f>
        <v>3.1</v>
      </c>
      <c r="X26" s="328"/>
      <c r="Y26" s="45" t="s">
        <v>480</v>
      </c>
      <c r="Z26" s="328">
        <f>W23</f>
        <v>115</v>
      </c>
      <c r="AA26" s="328"/>
      <c r="AB26" s="44" t="s">
        <v>483</v>
      </c>
      <c r="AC26" s="44"/>
      <c r="AD26" s="45" t="s">
        <v>484</v>
      </c>
      <c r="AE26" s="443">
        <f>N26/Q26*(T26*W26/Z26)^0.5</f>
        <v>865.0036207060152</v>
      </c>
      <c r="AF26" s="443"/>
    </row>
    <row r="27" spans="1:34" ht="9.75" customHeight="1">
      <c r="A27" s="1"/>
      <c r="B27" s="1"/>
      <c r="C27" s="1"/>
      <c r="D27" s="1"/>
      <c r="E27" s="1"/>
      <c r="F27" s="372" t="s">
        <v>423</v>
      </c>
      <c r="G27" s="372"/>
      <c r="H27" s="367" t="s">
        <v>406</v>
      </c>
      <c r="I27" s="373" t="s">
        <v>467</v>
      </c>
      <c r="J27" s="373"/>
      <c r="K27" s="369" t="s">
        <v>424</v>
      </c>
      <c r="L27" s="275" t="s">
        <v>410</v>
      </c>
      <c r="M27" s="275"/>
      <c r="N27" s="275"/>
      <c r="O27" s="275"/>
      <c r="P27" s="369" t="s">
        <v>425</v>
      </c>
      <c r="W27" s="381" t="s">
        <v>406</v>
      </c>
      <c r="X27" s="383">
        <f>2*J29*M29*P29/PI()/M30^2*(2+U29*(X29-Z29^2))/(1+2*U30)</f>
        <v>-7945.442300979381</v>
      </c>
      <c r="Y27" s="383"/>
      <c r="Z27" s="383"/>
      <c r="AA27" s="412" t="str">
        <f>upsx(dpu)</f>
        <v>psi</v>
      </c>
      <c r="AB27" s="412"/>
      <c r="AC27" s="414" t="str">
        <f>IF(X27&lt;=AD27,"&lt;","&gt;")</f>
        <v>&lt;</v>
      </c>
      <c r="AD27" s="413">
        <f>sbmas</f>
        <v>16600</v>
      </c>
      <c r="AE27" s="413"/>
      <c r="AF27" s="413"/>
      <c r="AG27" s="411" t="str">
        <f>IF(ABS(X27)&lt;=ABS(AD27),"OK !","NO !")</f>
        <v>OK !</v>
      </c>
      <c r="AH27" s="411"/>
    </row>
    <row r="28" spans="1:34" ht="9.75" customHeight="1">
      <c r="A28" s="6"/>
      <c r="B28" s="6"/>
      <c r="C28" s="6"/>
      <c r="D28" s="6"/>
      <c r="E28" s="6"/>
      <c r="F28" s="372"/>
      <c r="G28" s="372"/>
      <c r="H28" s="367"/>
      <c r="I28" s="508" t="s">
        <v>468</v>
      </c>
      <c r="J28" s="227"/>
      <c r="K28" s="369"/>
      <c r="L28" s="227" t="s">
        <v>413</v>
      </c>
      <c r="M28" s="227"/>
      <c r="N28" s="227"/>
      <c r="O28" s="227"/>
      <c r="P28" s="369"/>
      <c r="W28" s="381"/>
      <c r="X28" s="383"/>
      <c r="Y28" s="383"/>
      <c r="Z28" s="383"/>
      <c r="AA28" s="412"/>
      <c r="AB28" s="412"/>
      <c r="AC28" s="414"/>
      <c r="AD28" s="413"/>
      <c r="AE28" s="413"/>
      <c r="AF28" s="413"/>
      <c r="AG28" s="411"/>
      <c r="AH28" s="411"/>
    </row>
    <row r="29" spans="1:29" ht="9.75" customHeight="1">
      <c r="A29" s="1"/>
      <c r="B29" s="1"/>
      <c r="C29" s="1"/>
      <c r="D29" s="1"/>
      <c r="E29" s="1"/>
      <c r="F29" s="1"/>
      <c r="G29" s="1"/>
      <c r="H29" s="367" t="s">
        <v>406</v>
      </c>
      <c r="I29" s="8" t="s">
        <v>264</v>
      </c>
      <c r="J29" s="275">
        <f>dpress</f>
        <v>-115</v>
      </c>
      <c r="K29" s="275"/>
      <c r="L29" s="21" t="s">
        <v>414</v>
      </c>
      <c r="M29" s="273">
        <f>sbh3</f>
        <v>155.54999999999998</v>
      </c>
      <c r="N29" s="273"/>
      <c r="O29" s="8" t="s">
        <v>227</v>
      </c>
      <c r="P29" s="373">
        <f>sbpcha</f>
        <v>304.8</v>
      </c>
      <c r="Q29" s="373"/>
      <c r="R29" s="369" t="s">
        <v>424</v>
      </c>
      <c r="S29" s="8" t="s">
        <v>415</v>
      </c>
      <c r="U29" s="361">
        <f>kei</f>
        <v>1.820444444444444</v>
      </c>
      <c r="V29" s="361"/>
      <c r="W29" s="8" t="s">
        <v>416</v>
      </c>
      <c r="X29" s="8">
        <v>5</v>
      </c>
      <c r="Y29" s="8" t="s">
        <v>417</v>
      </c>
      <c r="Z29" s="361">
        <f>alpha</f>
        <v>0.4444444444444444</v>
      </c>
      <c r="AA29" s="361"/>
      <c r="AB29" s="8" t="s">
        <v>418</v>
      </c>
      <c r="AC29" s="369" t="s">
        <v>425</v>
      </c>
    </row>
    <row r="30" spans="1:29" ht="9.75" customHeight="1">
      <c r="A30" s="1"/>
      <c r="B30" s="1"/>
      <c r="C30" s="1"/>
      <c r="D30" s="1"/>
      <c r="E30" s="1"/>
      <c r="F30" s="1"/>
      <c r="G30" s="1"/>
      <c r="H30" s="367"/>
      <c r="I30" s="10"/>
      <c r="J30" s="508" t="s">
        <v>469</v>
      </c>
      <c r="K30" s="227"/>
      <c r="L30" s="22" t="s">
        <v>414</v>
      </c>
      <c r="M30" s="227">
        <f>sbt3</f>
        <v>31.8</v>
      </c>
      <c r="N30" s="227"/>
      <c r="O30" s="10" t="s">
        <v>60</v>
      </c>
      <c r="P30" s="10"/>
      <c r="Q30" s="10"/>
      <c r="R30" s="369"/>
      <c r="S30" s="23" t="s">
        <v>419</v>
      </c>
      <c r="T30" s="22" t="s">
        <v>420</v>
      </c>
      <c r="U30" s="260">
        <f>U29</f>
        <v>1.820444444444444</v>
      </c>
      <c r="V30" s="227"/>
      <c r="W30" s="23"/>
      <c r="X30" s="23"/>
      <c r="Y30" s="23"/>
      <c r="Z30" s="23"/>
      <c r="AA30" s="10"/>
      <c r="AB30" s="10"/>
      <c r="AC30" s="369"/>
    </row>
    <row r="31" spans="1:29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8" ht="9.75" customHeight="1">
      <c r="A32" s="6"/>
      <c r="B32" s="6"/>
      <c r="C32" s="6"/>
      <c r="D32" s="7" t="s">
        <v>426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</row>
    <row r="33" spans="1:29" ht="9.75" customHeight="1">
      <c r="A33" s="1"/>
      <c r="B33" s="1"/>
      <c r="C33" s="1"/>
      <c r="D33" s="6"/>
      <c r="E33" s="6"/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C33" s="3"/>
    </row>
    <row r="34" spans="1:29" ht="9.75" customHeight="1">
      <c r="A34" s="6"/>
      <c r="B34" s="6"/>
      <c r="C34" s="6"/>
      <c r="D34" s="1"/>
      <c r="E34" s="9" t="str">
        <f>E15</f>
        <v>Short Side Plate</v>
      </c>
      <c r="F34" s="1"/>
      <c r="G34" s="1"/>
      <c r="H34" s="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3"/>
      <c r="W34" s="3"/>
      <c r="X34" s="3"/>
      <c r="Y34" s="3"/>
      <c r="Z34" s="3"/>
      <c r="AA34" s="3"/>
      <c r="AB34" s="3"/>
      <c r="AC34" s="3"/>
    </row>
    <row r="35" spans="1:34" ht="9.75" customHeight="1">
      <c r="A35" s="1"/>
      <c r="B35" s="1"/>
      <c r="C35" s="1"/>
      <c r="D35" s="1"/>
      <c r="E35" s="1"/>
      <c r="F35" s="372" t="s">
        <v>427</v>
      </c>
      <c r="G35" s="372"/>
      <c r="H35" s="367" t="s">
        <v>406</v>
      </c>
      <c r="I35" s="275" t="s">
        <v>428</v>
      </c>
      <c r="J35" s="275"/>
      <c r="K35" s="369" t="s">
        <v>424</v>
      </c>
      <c r="L35" s="368" t="s">
        <v>249</v>
      </c>
      <c r="M35" s="368"/>
      <c r="N35" s="368"/>
      <c r="O35" s="368"/>
      <c r="P35" s="275" t="s">
        <v>429</v>
      </c>
      <c r="Q35" s="275"/>
      <c r="R35" s="275"/>
      <c r="S35" s="369" t="s">
        <v>430</v>
      </c>
      <c r="T35" s="275">
        <v>1</v>
      </c>
      <c r="U35" s="275"/>
      <c r="AA35" s="42" t="s">
        <v>431</v>
      </c>
      <c r="AC35" s="55" t="s">
        <v>406</v>
      </c>
      <c r="AD35" s="383">
        <f>I37*L37/I38/L38*(-3*Q37^2+2*V37^2*(1+2*AA37^2*AD37)/(1+2*AD38))/AG38</f>
        <v>-7379.6953914637115</v>
      </c>
      <c r="AE35" s="383"/>
      <c r="AF35" s="383"/>
      <c r="AG35" s="54" t="str">
        <f>AB16</f>
        <v>psi</v>
      </c>
      <c r="AH35" s="54"/>
    </row>
    <row r="36" spans="1:34" ht="9.75" customHeight="1">
      <c r="A36" s="6"/>
      <c r="B36" s="6"/>
      <c r="C36" s="6"/>
      <c r="D36" s="1"/>
      <c r="E36" s="1"/>
      <c r="F36" s="372"/>
      <c r="G36" s="372"/>
      <c r="H36" s="367"/>
      <c r="I36" s="227" t="s">
        <v>432</v>
      </c>
      <c r="J36" s="227"/>
      <c r="K36" s="369"/>
      <c r="L36" s="368"/>
      <c r="M36" s="368"/>
      <c r="N36" s="368"/>
      <c r="O36" s="368"/>
      <c r="P36" s="227" t="s">
        <v>413</v>
      </c>
      <c r="Q36" s="227"/>
      <c r="R36" s="227"/>
      <c r="S36" s="369"/>
      <c r="T36" s="227" t="s">
        <v>553</v>
      </c>
      <c r="U36" s="227"/>
      <c r="AA36" s="42" t="s">
        <v>433</v>
      </c>
      <c r="AC36" s="55" t="s">
        <v>406</v>
      </c>
      <c r="AD36" s="383">
        <f>I37*(-L37)/I38/L38*(-3*Q37^2+2*V37^2*(1+2*AA37^2*AD37)/(1+2*AD38))/AG38</f>
        <v>7379.6953914637115</v>
      </c>
      <c r="AE36" s="383"/>
      <c r="AF36" s="383"/>
      <c r="AG36" s="54" t="str">
        <f>AG35</f>
        <v>psi</v>
      </c>
      <c r="AH36" s="54"/>
    </row>
    <row r="37" spans="1:34" ht="9.75" customHeight="1">
      <c r="A37" s="1"/>
      <c r="B37" s="1"/>
      <c r="C37" s="1"/>
      <c r="D37" s="1"/>
      <c r="E37" s="1"/>
      <c r="F37" s="1"/>
      <c r="G37" s="1"/>
      <c r="H37" s="367" t="s">
        <v>406</v>
      </c>
      <c r="I37" s="275">
        <f>M16</f>
        <v>-115</v>
      </c>
      <c r="J37" s="275"/>
      <c r="K37" s="21" t="s">
        <v>414</v>
      </c>
      <c r="L37" s="370">
        <f>sco1</f>
        <v>-7.9375</v>
      </c>
      <c r="M37" s="370"/>
      <c r="N37" s="369" t="s">
        <v>424</v>
      </c>
      <c r="O37" s="368" t="s">
        <v>248</v>
      </c>
      <c r="P37" s="368"/>
      <c r="Q37" s="407">
        <f>P19</f>
        <v>152.39999999999998</v>
      </c>
      <c r="R37" s="369"/>
      <c r="S37" s="367" t="s">
        <v>434</v>
      </c>
      <c r="T37" s="368" t="s">
        <v>435</v>
      </c>
      <c r="U37" s="368"/>
      <c r="V37" s="407">
        <f>P16</f>
        <v>155.54999999999998</v>
      </c>
      <c r="W37" s="369"/>
      <c r="X37" s="367" t="s">
        <v>436</v>
      </c>
      <c r="Y37" s="2" t="s">
        <v>419</v>
      </c>
      <c r="Z37" s="8" t="s">
        <v>437</v>
      </c>
      <c r="AA37" s="361">
        <f>alpha</f>
        <v>0.4444444444444444</v>
      </c>
      <c r="AB37" s="361"/>
      <c r="AC37" s="33" t="s">
        <v>438</v>
      </c>
      <c r="AD37" s="361">
        <f>kei</f>
        <v>1.820444444444444</v>
      </c>
      <c r="AE37" s="361"/>
      <c r="AF37" s="369" t="s">
        <v>58</v>
      </c>
      <c r="AG37" s="275">
        <v>1</v>
      </c>
      <c r="AH37" s="275"/>
    </row>
    <row r="38" spans="1:34" ht="9.75" customHeight="1">
      <c r="A38" s="1"/>
      <c r="B38" s="1"/>
      <c r="C38" s="1"/>
      <c r="D38" s="6"/>
      <c r="E38" s="6"/>
      <c r="F38" s="6"/>
      <c r="G38" s="6"/>
      <c r="H38" s="367"/>
      <c r="I38" s="227">
        <v>24</v>
      </c>
      <c r="J38" s="227"/>
      <c r="K38" s="22" t="s">
        <v>414</v>
      </c>
      <c r="L38" s="371">
        <f>si1</f>
        <v>333.3956705729167</v>
      </c>
      <c r="M38" s="371"/>
      <c r="N38" s="369"/>
      <c r="O38" s="368"/>
      <c r="P38" s="368"/>
      <c r="Q38" s="369"/>
      <c r="R38" s="369"/>
      <c r="S38" s="367"/>
      <c r="T38" s="368"/>
      <c r="U38" s="368"/>
      <c r="V38" s="369"/>
      <c r="W38" s="369"/>
      <c r="X38" s="367"/>
      <c r="Y38" s="23" t="s">
        <v>419</v>
      </c>
      <c r="Z38" s="10"/>
      <c r="AA38" s="23"/>
      <c r="AB38" s="23"/>
      <c r="AC38" s="22" t="s">
        <v>420</v>
      </c>
      <c r="AD38" s="260">
        <f>AD37</f>
        <v>1.820444444444444</v>
      </c>
      <c r="AE38" s="260"/>
      <c r="AF38" s="369"/>
      <c r="AG38" s="227">
        <f>jen</f>
        <v>0.8</v>
      </c>
      <c r="AH38" s="227"/>
    </row>
    <row r="39" spans="1:29" ht="9.75" customHeight="1">
      <c r="A39" s="1"/>
      <c r="B39" s="1"/>
      <c r="C39" s="1"/>
      <c r="D39" s="6"/>
      <c r="E39" s="6"/>
      <c r="F39" s="6"/>
      <c r="G39" s="6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AC39" s="3"/>
    </row>
    <row r="40" spans="1:28" ht="9.75" customHeight="1">
      <c r="A40" s="6"/>
      <c r="B40" s="6"/>
      <c r="C40" s="6"/>
      <c r="D40" s="6"/>
      <c r="E40" s="1"/>
      <c r="F40" s="372" t="s">
        <v>439</v>
      </c>
      <c r="G40" s="372"/>
      <c r="H40" s="367" t="s">
        <v>406</v>
      </c>
      <c r="I40" s="373" t="s">
        <v>440</v>
      </c>
      <c r="J40" s="373"/>
      <c r="K40" s="369" t="s">
        <v>441</v>
      </c>
      <c r="L40" s="275" t="s">
        <v>429</v>
      </c>
      <c r="M40" s="275"/>
      <c r="N40" s="275"/>
      <c r="O40" s="369" t="s">
        <v>442</v>
      </c>
      <c r="P40" s="6"/>
      <c r="Q40" s="6"/>
      <c r="R40" s="6"/>
      <c r="S40" s="6"/>
      <c r="T40" s="6"/>
      <c r="U40" s="6"/>
      <c r="V40" s="3"/>
      <c r="W40" s="3"/>
      <c r="X40" s="3"/>
      <c r="Y40" s="3"/>
      <c r="Z40" s="3"/>
      <c r="AA40" s="3"/>
      <c r="AB40" s="3"/>
    </row>
    <row r="41" spans="1:28" ht="9.75" customHeight="1">
      <c r="A41" s="1"/>
      <c r="B41" s="1"/>
      <c r="C41" s="1"/>
      <c r="D41" s="6"/>
      <c r="E41" s="6"/>
      <c r="F41" s="372"/>
      <c r="G41" s="372"/>
      <c r="H41" s="367"/>
      <c r="I41" s="227" t="s">
        <v>443</v>
      </c>
      <c r="J41" s="227"/>
      <c r="K41" s="369"/>
      <c r="L41" s="227" t="s">
        <v>413</v>
      </c>
      <c r="M41" s="227"/>
      <c r="N41" s="227"/>
      <c r="O41" s="369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</row>
    <row r="42" spans="1:34" ht="9.75" customHeight="1">
      <c r="A42" s="6"/>
      <c r="B42" s="6"/>
      <c r="C42" s="6"/>
      <c r="D42" s="1"/>
      <c r="E42" s="1"/>
      <c r="F42" s="1"/>
      <c r="G42" s="1"/>
      <c r="H42" s="367" t="s">
        <v>406</v>
      </c>
      <c r="I42" s="275">
        <f>I37</f>
        <v>-115</v>
      </c>
      <c r="J42" s="275"/>
      <c r="K42" s="1" t="s">
        <v>414</v>
      </c>
      <c r="L42" s="273">
        <f>V37</f>
        <v>155.54999999999998</v>
      </c>
      <c r="M42" s="275"/>
      <c r="N42" s="34" t="s">
        <v>438</v>
      </c>
      <c r="O42" s="370">
        <f>L37</f>
        <v>-7.9375</v>
      </c>
      <c r="P42" s="370"/>
      <c r="Q42" s="369" t="s">
        <v>441</v>
      </c>
      <c r="R42" s="2" t="s">
        <v>419</v>
      </c>
      <c r="S42" s="8" t="s">
        <v>437</v>
      </c>
      <c r="T42" s="361">
        <f>AA37</f>
        <v>0.4444444444444444</v>
      </c>
      <c r="U42" s="361"/>
      <c r="V42" s="33" t="s">
        <v>438</v>
      </c>
      <c r="W42" s="361">
        <f>AD37</f>
        <v>1.820444444444444</v>
      </c>
      <c r="X42" s="361"/>
      <c r="Y42" s="369" t="s">
        <v>442</v>
      </c>
      <c r="AA42" s="42" t="s">
        <v>431</v>
      </c>
      <c r="AC42" s="55" t="s">
        <v>406</v>
      </c>
      <c r="AD42" s="383">
        <f>I42*L42^2*O42/I43/L43*(1+2*T42^2*W42)/(1+2*W43)</f>
        <v>2045.0436868290276</v>
      </c>
      <c r="AE42" s="383"/>
      <c r="AF42" s="383"/>
      <c r="AG42" s="54" t="str">
        <f>AG35</f>
        <v>psi</v>
      </c>
      <c r="AH42" s="54"/>
    </row>
    <row r="43" spans="1:34" ht="9.75" customHeight="1">
      <c r="A43" s="6"/>
      <c r="B43" s="6"/>
      <c r="C43" s="6"/>
      <c r="D43" s="6"/>
      <c r="E43" s="6"/>
      <c r="F43" s="6"/>
      <c r="G43" s="6"/>
      <c r="H43" s="367"/>
      <c r="I43" s="227">
        <v>12</v>
      </c>
      <c r="J43" s="227"/>
      <c r="K43" s="23" t="s">
        <v>414</v>
      </c>
      <c r="L43" s="371">
        <f>L38</f>
        <v>333.3956705729167</v>
      </c>
      <c r="M43" s="227"/>
      <c r="N43" s="23"/>
      <c r="O43" s="23"/>
      <c r="P43" s="23"/>
      <c r="Q43" s="369"/>
      <c r="R43" s="23" t="s">
        <v>419</v>
      </c>
      <c r="S43" s="10"/>
      <c r="T43" s="23"/>
      <c r="U43" s="23"/>
      <c r="V43" s="22" t="s">
        <v>420</v>
      </c>
      <c r="W43" s="260">
        <f>W42</f>
        <v>1.820444444444444</v>
      </c>
      <c r="X43" s="260"/>
      <c r="Y43" s="369"/>
      <c r="AA43" s="42" t="s">
        <v>433</v>
      </c>
      <c r="AC43" s="55" t="s">
        <v>406</v>
      </c>
      <c r="AD43" s="383">
        <f>I42*L42^2*(-O42)/I43/L43*(1+2*T42^2*W42)/(1+2*W43)</f>
        <v>-2045.0436868290276</v>
      </c>
      <c r="AE43" s="383"/>
      <c r="AF43" s="383"/>
      <c r="AG43" s="54" t="str">
        <f>AG42</f>
        <v>psi</v>
      </c>
      <c r="AH43" s="54"/>
    </row>
    <row r="44" spans="1:29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</row>
    <row r="45" spans="1:29" ht="9.75" customHeight="1">
      <c r="A45" s="6"/>
      <c r="B45" s="6"/>
      <c r="C45" s="6"/>
      <c r="D45" s="1"/>
      <c r="E45" s="9" t="str">
        <f>E18</f>
        <v>Long Side Plate</v>
      </c>
      <c r="F45" s="1"/>
      <c r="G45" s="1"/>
      <c r="H45" s="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33" ht="9.75" customHeight="1">
      <c r="A46" s="1"/>
      <c r="B46" s="1"/>
      <c r="C46" s="1"/>
      <c r="D46" s="1"/>
      <c r="E46" s="1"/>
      <c r="F46" s="372" t="s">
        <v>444</v>
      </c>
      <c r="G46" s="372"/>
      <c r="H46" s="367" t="s">
        <v>406</v>
      </c>
      <c r="I46" s="373" t="s">
        <v>440</v>
      </c>
      <c r="J46" s="373"/>
      <c r="K46" s="369" t="s">
        <v>424</v>
      </c>
      <c r="L46" s="275" t="s">
        <v>445</v>
      </c>
      <c r="M46" s="275"/>
      <c r="N46" s="275"/>
      <c r="O46" s="275"/>
      <c r="P46" s="369" t="s">
        <v>425</v>
      </c>
      <c r="Q46" s="275">
        <v>1</v>
      </c>
      <c r="R46" s="275"/>
      <c r="S46" s="1"/>
      <c r="T46" s="1"/>
      <c r="U46" s="1"/>
      <c r="AA46" s="42" t="s">
        <v>431</v>
      </c>
      <c r="AC46" s="55" t="s">
        <v>406</v>
      </c>
      <c r="AD46" s="383">
        <f>I48*L48^2*O48/I49/L49*(1+T48*(3-X48^2))/(1+2*T49)/AB49</f>
        <v>4725.433701667645</v>
      </c>
      <c r="AE46" s="383"/>
      <c r="AF46" s="383"/>
      <c r="AG46" s="54" t="str">
        <f>AB19</f>
        <v>psi</v>
      </c>
    </row>
    <row r="47" spans="1:33" ht="9.75" customHeight="1">
      <c r="A47" s="6"/>
      <c r="B47" s="6"/>
      <c r="C47" s="6"/>
      <c r="D47" s="1"/>
      <c r="E47" s="1"/>
      <c r="F47" s="372"/>
      <c r="G47" s="372"/>
      <c r="H47" s="367"/>
      <c r="I47" s="227" t="s">
        <v>446</v>
      </c>
      <c r="J47" s="227"/>
      <c r="K47" s="369"/>
      <c r="L47" s="227" t="s">
        <v>413</v>
      </c>
      <c r="M47" s="227"/>
      <c r="N47" s="227"/>
      <c r="O47" s="227"/>
      <c r="P47" s="369"/>
      <c r="Q47" s="227" t="s">
        <v>547</v>
      </c>
      <c r="R47" s="227"/>
      <c r="S47" s="6"/>
      <c r="T47" s="6"/>
      <c r="U47" s="6"/>
      <c r="V47" s="3"/>
      <c r="W47" s="3"/>
      <c r="X47" s="3"/>
      <c r="Y47" s="3"/>
      <c r="Z47" s="3"/>
      <c r="AA47" s="42" t="s">
        <v>433</v>
      </c>
      <c r="AC47" s="55" t="s">
        <v>406</v>
      </c>
      <c r="AD47" s="383">
        <f>I48*L48^2*(-O48)/I49/L49*(1+T48*(3-X48^2))/(1+2*T49)/AB49</f>
        <v>-4725.433701667645</v>
      </c>
      <c r="AE47" s="383"/>
      <c r="AF47" s="383"/>
      <c r="AG47" s="54" t="str">
        <f>AG46</f>
        <v>psi</v>
      </c>
    </row>
    <row r="48" spans="1:34" ht="9.75" customHeight="1">
      <c r="A48" s="1"/>
      <c r="B48" s="1"/>
      <c r="C48" s="1"/>
      <c r="D48" s="1"/>
      <c r="E48" s="1"/>
      <c r="F48" s="1"/>
      <c r="G48" s="1"/>
      <c r="H48" s="367" t="s">
        <v>406</v>
      </c>
      <c r="I48" s="275">
        <f>M19</f>
        <v>-115</v>
      </c>
      <c r="J48" s="275"/>
      <c r="K48" s="1" t="s">
        <v>414</v>
      </c>
      <c r="L48" s="273">
        <f>P16</f>
        <v>155.54999999999998</v>
      </c>
      <c r="M48" s="275"/>
      <c r="N48" s="34" t="s">
        <v>438</v>
      </c>
      <c r="O48" s="370">
        <f>lco2</f>
        <v>-12.7</v>
      </c>
      <c r="P48" s="370"/>
      <c r="Q48" s="369" t="s">
        <v>424</v>
      </c>
      <c r="R48" s="1" t="s">
        <v>419</v>
      </c>
      <c r="S48" s="3"/>
      <c r="T48" s="274">
        <f>kei</f>
        <v>1.820444444444444</v>
      </c>
      <c r="U48" s="274"/>
      <c r="V48" s="21" t="s">
        <v>416</v>
      </c>
      <c r="W48" s="8" t="s">
        <v>447</v>
      </c>
      <c r="X48" s="361">
        <f>alpha</f>
        <v>0.4444444444444444</v>
      </c>
      <c r="Y48" s="361"/>
      <c r="Z48" s="2" t="s">
        <v>418</v>
      </c>
      <c r="AA48" s="369" t="s">
        <v>425</v>
      </c>
      <c r="AB48" s="275">
        <v>1</v>
      </c>
      <c r="AC48" s="275"/>
      <c r="AD48" s="54"/>
      <c r="AH48" s="54"/>
    </row>
    <row r="49" spans="1:34" ht="9.75" customHeight="1">
      <c r="A49" s="1"/>
      <c r="B49" s="1"/>
      <c r="C49" s="1"/>
      <c r="D49" s="6"/>
      <c r="E49" s="6"/>
      <c r="F49" s="6"/>
      <c r="G49" s="6"/>
      <c r="H49" s="367"/>
      <c r="I49" s="227">
        <v>12</v>
      </c>
      <c r="J49" s="227"/>
      <c r="K49" s="23" t="s">
        <v>414</v>
      </c>
      <c r="L49" s="371">
        <f>li2</f>
        <v>1365.5886666666665</v>
      </c>
      <c r="M49" s="227"/>
      <c r="N49" s="23"/>
      <c r="O49" s="23"/>
      <c r="P49" s="23"/>
      <c r="Q49" s="369"/>
      <c r="R49" s="10" t="s">
        <v>419</v>
      </c>
      <c r="S49" s="22" t="s">
        <v>420</v>
      </c>
      <c r="T49" s="260">
        <f>T48</f>
        <v>1.820444444444444</v>
      </c>
      <c r="U49" s="227"/>
      <c r="V49" s="10"/>
      <c r="W49" s="10"/>
      <c r="X49" s="10"/>
      <c r="Y49" s="10"/>
      <c r="Z49" s="10"/>
      <c r="AA49" s="369"/>
      <c r="AB49" s="227">
        <f>jem</f>
        <v>0.6</v>
      </c>
      <c r="AC49" s="227"/>
      <c r="AD49" s="54"/>
      <c r="AH49" s="54"/>
    </row>
    <row r="50" spans="1:29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AC50" s="3"/>
    </row>
    <row r="51" spans="1:28" ht="9.75" customHeight="1">
      <c r="A51" s="6"/>
      <c r="B51" s="6"/>
      <c r="C51" s="6"/>
      <c r="D51" s="6"/>
      <c r="E51" s="6"/>
      <c r="F51" s="372" t="s">
        <v>448</v>
      </c>
      <c r="G51" s="372"/>
      <c r="H51" s="367" t="s">
        <v>406</v>
      </c>
      <c r="I51" s="373" t="s">
        <v>440</v>
      </c>
      <c r="J51" s="373"/>
      <c r="K51" s="369" t="s">
        <v>441</v>
      </c>
      <c r="L51" s="275" t="s">
        <v>429</v>
      </c>
      <c r="M51" s="275"/>
      <c r="N51" s="275"/>
      <c r="O51" s="369" t="s">
        <v>442</v>
      </c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</row>
    <row r="52" spans="1:28" ht="9.75" customHeight="1">
      <c r="A52" s="1"/>
      <c r="B52" s="1"/>
      <c r="C52" s="1"/>
      <c r="D52" s="6"/>
      <c r="E52" s="6"/>
      <c r="F52" s="372"/>
      <c r="G52" s="372"/>
      <c r="H52" s="367"/>
      <c r="I52" s="227" t="s">
        <v>446</v>
      </c>
      <c r="J52" s="227"/>
      <c r="K52" s="369"/>
      <c r="L52" s="227" t="s">
        <v>413</v>
      </c>
      <c r="M52" s="227"/>
      <c r="N52" s="227"/>
      <c r="O52" s="369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</row>
    <row r="53" spans="1:34" ht="9.75" customHeight="1">
      <c r="A53" s="6"/>
      <c r="B53" s="6"/>
      <c r="C53" s="6"/>
      <c r="D53" s="1"/>
      <c r="E53" s="1"/>
      <c r="F53" s="1"/>
      <c r="G53" s="1"/>
      <c r="H53" s="367" t="s">
        <v>406</v>
      </c>
      <c r="I53" s="275">
        <f>I48</f>
        <v>-115</v>
      </c>
      <c r="J53" s="275"/>
      <c r="K53" s="1" t="s">
        <v>414</v>
      </c>
      <c r="L53" s="273">
        <f>L48</f>
        <v>155.54999999999998</v>
      </c>
      <c r="M53" s="275"/>
      <c r="N53" s="34" t="s">
        <v>438</v>
      </c>
      <c r="O53" s="370">
        <f>O48</f>
        <v>-12.7</v>
      </c>
      <c r="P53" s="370"/>
      <c r="Q53" s="369" t="s">
        <v>441</v>
      </c>
      <c r="R53" s="2" t="s">
        <v>419</v>
      </c>
      <c r="S53" s="8" t="s">
        <v>437</v>
      </c>
      <c r="T53" s="361">
        <f>X48</f>
        <v>0.4444444444444444</v>
      </c>
      <c r="U53" s="361"/>
      <c r="V53" s="33" t="s">
        <v>438</v>
      </c>
      <c r="W53" s="361">
        <f>T48</f>
        <v>1.820444444444444</v>
      </c>
      <c r="X53" s="361"/>
      <c r="Y53" s="369" t="s">
        <v>442</v>
      </c>
      <c r="AA53" s="42" t="s">
        <v>431</v>
      </c>
      <c r="AC53" s="55" t="s">
        <v>406</v>
      </c>
      <c r="AD53" s="383">
        <f>I53*L53^2*O53/I54/L54*(1+2*T53^2*W53)/(1+2*W54)</f>
        <v>798.8451901675891</v>
      </c>
      <c r="AE53" s="383"/>
      <c r="AF53" s="383"/>
      <c r="AG53" s="54" t="str">
        <f>AG46</f>
        <v>psi</v>
      </c>
      <c r="AH53" s="54"/>
    </row>
    <row r="54" spans="1:34" ht="9.75" customHeight="1">
      <c r="A54" s="6"/>
      <c r="B54" s="6"/>
      <c r="C54" s="6"/>
      <c r="D54" s="6"/>
      <c r="E54" s="6"/>
      <c r="F54" s="6"/>
      <c r="G54" s="6"/>
      <c r="H54" s="367"/>
      <c r="I54" s="227">
        <v>12</v>
      </c>
      <c r="J54" s="227"/>
      <c r="K54" s="23" t="s">
        <v>414</v>
      </c>
      <c r="L54" s="371">
        <f>L49</f>
        <v>1365.5886666666665</v>
      </c>
      <c r="M54" s="227"/>
      <c r="N54" s="23"/>
      <c r="O54" s="23"/>
      <c r="P54" s="23"/>
      <c r="Q54" s="369"/>
      <c r="R54" s="23" t="s">
        <v>419</v>
      </c>
      <c r="S54" s="10"/>
      <c r="T54" s="23"/>
      <c r="U54" s="32"/>
      <c r="V54" s="22" t="s">
        <v>420</v>
      </c>
      <c r="W54" s="260">
        <f>W53</f>
        <v>1.820444444444444</v>
      </c>
      <c r="X54" s="260"/>
      <c r="Y54" s="369"/>
      <c r="Z54" s="3"/>
      <c r="AA54" s="42" t="s">
        <v>433</v>
      </c>
      <c r="AC54" s="55" t="s">
        <v>406</v>
      </c>
      <c r="AD54" s="383">
        <f>I53*L53^2*(-O53)/I54/L54*(1+2*T53^2*W53)/(1+2*W54)</f>
        <v>-798.8451901675891</v>
      </c>
      <c r="AE54" s="383"/>
      <c r="AF54" s="383"/>
      <c r="AG54" s="54" t="str">
        <f>AG53</f>
        <v>psi</v>
      </c>
      <c r="AH54" s="54"/>
    </row>
    <row r="55" spans="1:29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3"/>
    </row>
    <row r="56" spans="1:29" ht="9.75" customHeight="1">
      <c r="A56" s="1"/>
      <c r="B56" s="1"/>
      <c r="C56" s="1"/>
      <c r="D56" s="9" t="s">
        <v>449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</row>
    <row r="57" spans="1:37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  <c r="AD57" s="284">
        <v>1.5</v>
      </c>
      <c r="AE57" s="284"/>
      <c r="AF57" s="30" t="s">
        <v>450</v>
      </c>
      <c r="AJ57" s="275" t="s">
        <v>566</v>
      </c>
      <c r="AK57" s="275"/>
    </row>
    <row r="58" spans="1:37" ht="9.75" customHeight="1">
      <c r="A58" s="1"/>
      <c r="B58" s="1"/>
      <c r="C58" s="1"/>
      <c r="D58" s="1"/>
      <c r="E58" s="9" t="str">
        <f>E15</f>
        <v>Short Side Plate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C58" s="3"/>
      <c r="AJ58" s="360" t="s">
        <v>567</v>
      </c>
      <c r="AK58" s="360"/>
    </row>
    <row r="59" spans="1:49" ht="9.75" customHeight="1">
      <c r="A59" s="1"/>
      <c r="B59" s="1"/>
      <c r="C59" s="1"/>
      <c r="D59" s="1"/>
      <c r="E59" s="1"/>
      <c r="F59" s="9" t="s">
        <v>451</v>
      </c>
      <c r="G59" s="1"/>
      <c r="H59" s="1" t="s">
        <v>406</v>
      </c>
      <c r="I59" s="288" t="str">
        <f>F16</f>
        <v>SmS</v>
      </c>
      <c r="J59" s="288"/>
      <c r="K59" s="21"/>
      <c r="L59" s="288" t="str">
        <f>F35</f>
        <v>(Sb)N</v>
      </c>
      <c r="M59" s="288"/>
      <c r="N59" s="21" t="s">
        <v>406</v>
      </c>
      <c r="O59" s="273">
        <f>Y16</f>
        <v>-1408.5236220472439</v>
      </c>
      <c r="P59" s="273"/>
      <c r="Q59" s="273"/>
      <c r="R59" s="21" t="s">
        <v>452</v>
      </c>
      <c r="S59" s="273">
        <f>AD35</f>
        <v>-7379.6953914637115</v>
      </c>
      <c r="T59" s="273"/>
      <c r="U59" s="273"/>
      <c r="V59" s="42" t="s">
        <v>453</v>
      </c>
      <c r="X59" s="8" t="s">
        <v>406</v>
      </c>
      <c r="Y59" s="366">
        <f>O59+S59</f>
        <v>-8788.219013510956</v>
      </c>
      <c r="Z59" s="366"/>
      <c r="AA59" s="366"/>
      <c r="AB59" s="2" t="str">
        <f>AG35</f>
        <v>psi</v>
      </c>
      <c r="AC59" s="26" t="str">
        <f>IF(ABS(Y59)&lt;=ABS(AD59),"&lt;","&gt;")</f>
        <v>&lt;</v>
      </c>
      <c r="AD59" s="365">
        <f>AD57*mas</f>
        <v>28200</v>
      </c>
      <c r="AE59" s="365"/>
      <c r="AF59" s="365"/>
      <c r="AG59" s="364" t="str">
        <f>IF(ABS(Y59)&lt;=ABS(AD59),"OK !","NO !")</f>
        <v>OK !</v>
      </c>
      <c r="AH59" s="364"/>
      <c r="AI59" s="8" t="s">
        <v>579</v>
      </c>
      <c r="AJ59" s="361">
        <f>ABS(Y59/AD59)</f>
        <v>0.3116389721103176</v>
      </c>
      <c r="AK59" s="361"/>
      <c r="AL59" s="43" t="str">
        <f>IF(AJ59&lt;&gt;AJ73,"*","M")</f>
        <v>*</v>
      </c>
      <c r="AM59" s="362">
        <f>IF(AJ59&lt;&gt;AJ73,"",E58)</f>
      </c>
      <c r="AN59" s="328"/>
      <c r="AO59" s="328"/>
      <c r="AP59" s="363"/>
      <c r="AQ59" s="362">
        <f>IF(AJ59&lt;&gt;AJ73,"",AI59)</f>
      </c>
      <c r="AR59" s="363"/>
      <c r="AS59" s="351">
        <f>IF(AJ59&lt;&gt;AJ73,"",Y59)</f>
      </c>
      <c r="AT59" s="352"/>
      <c r="AU59" s="353">
        <f>IF(AJ59&lt;&gt;AJ73,"",AD59)</f>
      </c>
      <c r="AV59" s="353"/>
      <c r="AW59" s="135">
        <f>IF(AJ59&lt;&gt;AJ73,"",AG59)</f>
      </c>
    </row>
    <row r="60" spans="1:4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1" t="s">
        <v>406</v>
      </c>
      <c r="O60" s="273">
        <f>O59</f>
        <v>-1408.5236220472439</v>
      </c>
      <c r="P60" s="273"/>
      <c r="Q60" s="273"/>
      <c r="R60" s="21" t="s">
        <v>452</v>
      </c>
      <c r="S60" s="273">
        <f>AD36</f>
        <v>7379.6953914637115</v>
      </c>
      <c r="T60" s="273"/>
      <c r="U60" s="273"/>
      <c r="V60" s="42" t="s">
        <v>454</v>
      </c>
      <c r="X60" s="8" t="s">
        <v>406</v>
      </c>
      <c r="Y60" s="366">
        <f>O60+S60</f>
        <v>5971.171769416467</v>
      </c>
      <c r="Z60" s="366"/>
      <c r="AA60" s="366"/>
      <c r="AB60" s="2" t="str">
        <f>AB59</f>
        <v>psi</v>
      </c>
      <c r="AC60" s="26" t="str">
        <f>IF(ABS(Y60)&lt;=ABS(AD60),"&lt;","&gt;")</f>
        <v>&lt;</v>
      </c>
      <c r="AD60" s="365">
        <f>AD59</f>
        <v>28200</v>
      </c>
      <c r="AE60" s="365"/>
      <c r="AF60" s="365"/>
      <c r="AG60" s="364" t="str">
        <f>IF(ABS(Y60)&lt;=ABS(AD60),"OK !","NO !")</f>
        <v>OK !</v>
      </c>
      <c r="AH60" s="364"/>
      <c r="AJ60" s="361">
        <f>ABS(Y60/AD60)</f>
        <v>0.2117436797665414</v>
      </c>
      <c r="AK60" s="361"/>
      <c r="AL60" s="43" t="str">
        <f>IF(AJ60&lt;&gt;AJ73,"*","M")</f>
        <v>*</v>
      </c>
      <c r="AM60" s="362">
        <f>IF(AJ60&lt;&gt;AJ73,"",E58)</f>
      </c>
      <c r="AN60" s="328"/>
      <c r="AO60" s="328"/>
      <c r="AP60" s="363"/>
      <c r="AQ60" s="362">
        <f>IF(AJ60&lt;&gt;AJ73,"",AI59)</f>
      </c>
      <c r="AR60" s="363"/>
      <c r="AS60" s="351">
        <f>IF(AJ60&lt;&gt;AJ73,"",Y60)</f>
      </c>
      <c r="AT60" s="352"/>
      <c r="AU60" s="353">
        <f>IF(AJ60&lt;&gt;AJ73,"",AD60)</f>
      </c>
      <c r="AV60" s="353"/>
      <c r="AW60" s="135">
        <f>IF(AJ60&lt;&gt;AJ73,"",AG60)</f>
      </c>
    </row>
    <row r="61" spans="1:49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  <c r="AM61" s="133"/>
      <c r="AN61" s="1"/>
      <c r="AO61" s="1"/>
      <c r="AP61" s="134"/>
      <c r="AS61" s="133"/>
      <c r="AT61" s="134"/>
      <c r="AW61" s="133"/>
    </row>
    <row r="62" spans="1:49" ht="9.75" customHeight="1">
      <c r="A62" s="1"/>
      <c r="B62" s="1"/>
      <c r="C62" s="1"/>
      <c r="D62" s="1"/>
      <c r="E62" s="1"/>
      <c r="F62" s="9" t="s">
        <v>455</v>
      </c>
      <c r="G62" s="1"/>
      <c r="H62" s="1" t="s">
        <v>406</v>
      </c>
      <c r="I62" s="288" t="str">
        <f>F16</f>
        <v>SmS</v>
      </c>
      <c r="J62" s="288"/>
      <c r="K62" s="21"/>
      <c r="L62" s="288" t="str">
        <f>F40</f>
        <v>(Sb)QS</v>
      </c>
      <c r="M62" s="288"/>
      <c r="N62" s="21" t="s">
        <v>406</v>
      </c>
      <c r="O62" s="273">
        <f>O59</f>
        <v>-1408.5236220472439</v>
      </c>
      <c r="P62" s="273"/>
      <c r="Q62" s="273"/>
      <c r="R62" s="21" t="s">
        <v>452</v>
      </c>
      <c r="S62" s="273">
        <f>AD42</f>
        <v>2045.0436868290276</v>
      </c>
      <c r="T62" s="273"/>
      <c r="U62" s="273"/>
      <c r="V62" s="42" t="s">
        <v>453</v>
      </c>
      <c r="X62" s="8" t="s">
        <v>406</v>
      </c>
      <c r="Y62" s="366">
        <f>O62+S62</f>
        <v>636.5200647817837</v>
      </c>
      <c r="Z62" s="366"/>
      <c r="AA62" s="366"/>
      <c r="AB62" s="2" t="str">
        <f>AB59</f>
        <v>psi</v>
      </c>
      <c r="AC62" s="26" t="str">
        <f>IF(ABS(Y62)&lt;=ABS(AD62),"&lt;","&gt;")</f>
        <v>&lt;</v>
      </c>
      <c r="AD62" s="365">
        <f>AD57*mas</f>
        <v>28200</v>
      </c>
      <c r="AE62" s="365"/>
      <c r="AF62" s="365"/>
      <c r="AG62" s="364" t="str">
        <f>IF(ABS(Y62)&lt;=ABS(AD62),"OK !","NO !")</f>
        <v>OK !</v>
      </c>
      <c r="AH62" s="364"/>
      <c r="AI62" s="8" t="s">
        <v>30</v>
      </c>
      <c r="AJ62" s="361">
        <f>ABS(Y62/AD62)</f>
        <v>0.022571633502900132</v>
      </c>
      <c r="AK62" s="361"/>
      <c r="AL62" s="43" t="str">
        <f>IF(AJ62&lt;&gt;AJ73,"*","M")</f>
        <v>*</v>
      </c>
      <c r="AM62" s="362">
        <f>IF(AJ62&lt;&gt;AJ73,"",E58)</f>
      </c>
      <c r="AN62" s="328"/>
      <c r="AO62" s="328"/>
      <c r="AP62" s="363"/>
      <c r="AQ62" s="362">
        <f>IF(AJ62&lt;&gt;AJ73,"",AI62)</f>
      </c>
      <c r="AR62" s="363"/>
      <c r="AS62" s="351">
        <f>IF(AJ62&lt;&gt;AJ73,"",Y62)</f>
      </c>
      <c r="AT62" s="352"/>
      <c r="AU62" s="353">
        <f>IF(AJ62&lt;&gt;AJ73,"",AD62)</f>
      </c>
      <c r="AV62" s="353"/>
      <c r="AW62" s="135">
        <f>IF(AJ62&lt;&gt;AJ73,"",AG62)</f>
      </c>
    </row>
    <row r="63" spans="1:4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1" t="s">
        <v>406</v>
      </c>
      <c r="O63" s="273">
        <f>O62</f>
        <v>-1408.5236220472439</v>
      </c>
      <c r="P63" s="273"/>
      <c r="Q63" s="273"/>
      <c r="R63" s="21" t="s">
        <v>452</v>
      </c>
      <c r="S63" s="273">
        <f>AD43</f>
        <v>-2045.0436868290276</v>
      </c>
      <c r="T63" s="273"/>
      <c r="U63" s="273"/>
      <c r="V63" s="42" t="s">
        <v>454</v>
      </c>
      <c r="W63" s="3"/>
      <c r="X63" s="8" t="s">
        <v>406</v>
      </c>
      <c r="Y63" s="366">
        <f>O63+S63</f>
        <v>-3453.5673088762715</v>
      </c>
      <c r="Z63" s="366"/>
      <c r="AA63" s="366"/>
      <c r="AB63" s="2" t="str">
        <f>AB62</f>
        <v>psi</v>
      </c>
      <c r="AC63" s="26" t="str">
        <f>IF(ABS(Y63)&lt;=ABS(AD63),"&lt;","&gt;")</f>
        <v>&lt;</v>
      </c>
      <c r="AD63" s="365">
        <f>AD62</f>
        <v>28200</v>
      </c>
      <c r="AE63" s="365"/>
      <c r="AF63" s="365"/>
      <c r="AG63" s="364" t="str">
        <f>IF(ABS(Y63)&lt;=ABS(AD63),"OK !","NO !")</f>
        <v>OK !</v>
      </c>
      <c r="AH63" s="364"/>
      <c r="AJ63" s="361">
        <f>ABS(Y63/AD63)</f>
        <v>0.12246692584667629</v>
      </c>
      <c r="AK63" s="361"/>
      <c r="AL63" s="43" t="str">
        <f>IF(AJ63&lt;&gt;AJ73,"*","M")</f>
        <v>*</v>
      </c>
      <c r="AM63" s="362">
        <f>IF(AJ63&lt;&gt;AJ73,"",E58)</f>
      </c>
      <c r="AN63" s="328"/>
      <c r="AO63" s="328"/>
      <c r="AP63" s="363"/>
      <c r="AQ63" s="362">
        <f>IF(AJ63&lt;&gt;AJ73,"",AI62)</f>
      </c>
      <c r="AR63" s="363"/>
      <c r="AS63" s="357">
        <f>IF(AJ63&lt;&gt;AJ73,"",Y63)</f>
      </c>
      <c r="AT63" s="358"/>
      <c r="AU63" s="357">
        <f>IF(AJ63&lt;&gt;AJ73,"",AD63)</f>
      </c>
      <c r="AV63" s="359"/>
      <c r="AW63" s="135">
        <f>IF(AJ63&lt;&gt;AJ73,"",AG63)</f>
      </c>
    </row>
    <row r="64" spans="1:49" ht="9.75" customHeight="1">
      <c r="A64" s="6"/>
      <c r="B64" s="6"/>
      <c r="C64" s="6"/>
      <c r="D64" s="6"/>
      <c r="E64" s="9" t="str">
        <f>E18</f>
        <v>Long Side Plate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  <c r="X64" s="3"/>
      <c r="AC64" s="3"/>
      <c r="AD64" s="3"/>
      <c r="AE64" s="3"/>
      <c r="AF64" s="3"/>
      <c r="AM64" s="133"/>
      <c r="AN64" s="1"/>
      <c r="AO64" s="1"/>
      <c r="AP64" s="134"/>
      <c r="AS64" s="133"/>
      <c r="AT64" s="134"/>
      <c r="AW64" s="133"/>
    </row>
    <row r="65" spans="1:49" ht="9.75" customHeight="1">
      <c r="A65" s="6"/>
      <c r="B65" s="6"/>
      <c r="C65" s="6"/>
      <c r="D65" s="6"/>
      <c r="E65" s="6"/>
      <c r="F65" s="9" t="s">
        <v>456</v>
      </c>
      <c r="G65" s="1"/>
      <c r="H65" s="1" t="s">
        <v>406</v>
      </c>
      <c r="I65" s="288" t="str">
        <f>F19</f>
        <v>SmL</v>
      </c>
      <c r="J65" s="288"/>
      <c r="K65" s="21"/>
      <c r="L65" s="288" t="str">
        <f>F46</f>
        <v>(Sb)M</v>
      </c>
      <c r="M65" s="288"/>
      <c r="N65" s="21" t="s">
        <v>406</v>
      </c>
      <c r="O65" s="273">
        <f>Y19</f>
        <v>-574.9999999999999</v>
      </c>
      <c r="P65" s="273"/>
      <c r="Q65" s="273"/>
      <c r="R65" s="21" t="s">
        <v>452</v>
      </c>
      <c r="S65" s="273">
        <f>AD46</f>
        <v>4725.433701667645</v>
      </c>
      <c r="T65" s="273"/>
      <c r="U65" s="273"/>
      <c r="V65" s="42" t="s">
        <v>453</v>
      </c>
      <c r="X65" s="8" t="s">
        <v>406</v>
      </c>
      <c r="Y65" s="366">
        <f>O65+S65</f>
        <v>4150.433701667645</v>
      </c>
      <c r="Z65" s="366"/>
      <c r="AA65" s="366"/>
      <c r="AB65" s="2" t="str">
        <f>AG46</f>
        <v>psi</v>
      </c>
      <c r="AC65" s="26" t="str">
        <f>IF(ABS(Y65)&lt;=ABS(AD65),"&lt;","&gt;")</f>
        <v>&lt;</v>
      </c>
      <c r="AD65" s="365">
        <f>AD57*mas</f>
        <v>28200</v>
      </c>
      <c r="AE65" s="365"/>
      <c r="AF65" s="365"/>
      <c r="AG65" s="364" t="str">
        <f>IF(ABS(Y65)&lt;=ABS(AD65),"OK !","NO !")</f>
        <v>OK !</v>
      </c>
      <c r="AH65" s="364"/>
      <c r="AI65" s="8" t="s">
        <v>580</v>
      </c>
      <c r="AJ65" s="361">
        <f>ABS(Y65/AD65)</f>
        <v>0.14717850005913635</v>
      </c>
      <c r="AK65" s="361"/>
      <c r="AL65" s="43" t="str">
        <f>IF(AJ65&lt;&gt;AJ73,"*","M")</f>
        <v>*</v>
      </c>
      <c r="AM65" s="362">
        <f>IF(AJ65&lt;&gt;AJ73,"",E64)</f>
      </c>
      <c r="AN65" s="328"/>
      <c r="AO65" s="328"/>
      <c r="AP65" s="363"/>
      <c r="AQ65" s="362">
        <f>IF(AJ65&lt;&gt;AJ73,"",AI65)</f>
      </c>
      <c r="AR65" s="363"/>
      <c r="AS65" s="351">
        <f>IF(AJ65&lt;&gt;AJ73,"",Y65)</f>
      </c>
      <c r="AT65" s="352"/>
      <c r="AU65" s="353">
        <f>IF(AJ65&lt;&gt;AJ73,"",AD65)</f>
      </c>
      <c r="AV65" s="353"/>
      <c r="AW65" s="135">
        <f>IF(AJ65&lt;&gt;AJ73,"",AG65)</f>
      </c>
    </row>
    <row r="66" spans="1:49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1" t="s">
        <v>406</v>
      </c>
      <c r="O66" s="273">
        <f>O65</f>
        <v>-574.9999999999999</v>
      </c>
      <c r="P66" s="273"/>
      <c r="Q66" s="273"/>
      <c r="R66" s="21" t="s">
        <v>452</v>
      </c>
      <c r="S66" s="273">
        <f>AD47</f>
        <v>-4725.433701667645</v>
      </c>
      <c r="T66" s="273"/>
      <c r="U66" s="273"/>
      <c r="V66" s="42" t="s">
        <v>454</v>
      </c>
      <c r="W66" s="3"/>
      <c r="X66" s="8" t="s">
        <v>406</v>
      </c>
      <c r="Y66" s="366">
        <f>O66+S66</f>
        <v>-5300.433701667645</v>
      </c>
      <c r="Z66" s="366"/>
      <c r="AA66" s="366"/>
      <c r="AB66" s="3" t="str">
        <f>AB65</f>
        <v>psi</v>
      </c>
      <c r="AC66" s="26" t="str">
        <f>IF(ABS(Y66)&lt;=ABS(AD66),"&lt;","&gt;")</f>
        <v>&lt;</v>
      </c>
      <c r="AD66" s="365">
        <f>AD65</f>
        <v>28200</v>
      </c>
      <c r="AE66" s="365"/>
      <c r="AF66" s="365"/>
      <c r="AG66" s="364" t="str">
        <f>IF(ABS(Y66)&lt;=ABS(AD66),"OK !","NO !")</f>
        <v>OK !</v>
      </c>
      <c r="AH66" s="364"/>
      <c r="AJ66" s="361">
        <f>ABS(Y66/AD66)</f>
        <v>0.187958641903108</v>
      </c>
      <c r="AK66" s="361"/>
      <c r="AL66" s="43" t="str">
        <f>IF(AJ66&lt;&gt;AJ73,"*","M")</f>
        <v>*</v>
      </c>
      <c r="AM66" s="362">
        <f>IF(AJ66&lt;&gt;AJ73,"",E64)</f>
      </c>
      <c r="AN66" s="328"/>
      <c r="AO66" s="328"/>
      <c r="AP66" s="363"/>
      <c r="AQ66" s="362">
        <f>IF(AJ66&lt;&gt;AJ73,"",AI65)</f>
      </c>
      <c r="AR66" s="363"/>
      <c r="AS66" s="351">
        <f>IF(AJ66&lt;&gt;AJ73,"",Y66)</f>
      </c>
      <c r="AT66" s="352"/>
      <c r="AU66" s="353">
        <f>IF(AJ66&lt;&gt;AJ73,"",AD66)</f>
      </c>
      <c r="AV66" s="353"/>
      <c r="AW66" s="135">
        <f>IF(AJ66&lt;&gt;AJ73,"",AG66)</f>
      </c>
    </row>
    <row r="67" spans="1:49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  <c r="X67" s="3"/>
      <c r="Y67" s="3"/>
      <c r="Z67" s="3"/>
      <c r="AA67" s="3"/>
      <c r="AB67" s="3"/>
      <c r="AC67" s="3"/>
      <c r="AL67" s="43"/>
      <c r="AM67" s="131"/>
      <c r="AN67" s="43"/>
      <c r="AO67" s="43"/>
      <c r="AP67" s="132"/>
      <c r="AQ67" s="43"/>
      <c r="AR67" s="43"/>
      <c r="AS67" s="131"/>
      <c r="AT67" s="132"/>
      <c r="AU67" s="43"/>
      <c r="AV67" s="43"/>
      <c r="AW67" s="131"/>
    </row>
    <row r="68" spans="1:49" ht="9.75" customHeight="1">
      <c r="A68" s="1"/>
      <c r="B68" s="1"/>
      <c r="C68" s="1"/>
      <c r="D68" s="1"/>
      <c r="E68" s="1"/>
      <c r="F68" s="9" t="s">
        <v>455</v>
      </c>
      <c r="G68" s="1"/>
      <c r="H68" s="1" t="s">
        <v>406</v>
      </c>
      <c r="I68" s="288" t="str">
        <f>F19</f>
        <v>SmL</v>
      </c>
      <c r="J68" s="288"/>
      <c r="K68" s="21"/>
      <c r="L68" s="288" t="str">
        <f>F51</f>
        <v>(Sb)QL</v>
      </c>
      <c r="M68" s="288"/>
      <c r="N68" s="21" t="s">
        <v>406</v>
      </c>
      <c r="O68" s="273">
        <f>O65</f>
        <v>-574.9999999999999</v>
      </c>
      <c r="P68" s="273"/>
      <c r="Q68" s="273"/>
      <c r="R68" s="21" t="s">
        <v>452</v>
      </c>
      <c r="S68" s="273">
        <f>AD53</f>
        <v>798.8451901675891</v>
      </c>
      <c r="T68" s="273"/>
      <c r="U68" s="273"/>
      <c r="V68" s="42" t="s">
        <v>453</v>
      </c>
      <c r="X68" s="8" t="s">
        <v>406</v>
      </c>
      <c r="Y68" s="366">
        <f>O68+S68</f>
        <v>223.84519016758918</v>
      </c>
      <c r="Z68" s="366"/>
      <c r="AA68" s="366"/>
      <c r="AB68" s="2" t="str">
        <f>AB65</f>
        <v>psi</v>
      </c>
      <c r="AC68" s="26" t="str">
        <f>IF(ABS(Y68)&lt;=ABS(AD68),"&lt;","&gt;")</f>
        <v>&lt;</v>
      </c>
      <c r="AD68" s="365">
        <f>AD57*mas</f>
        <v>28200</v>
      </c>
      <c r="AE68" s="365"/>
      <c r="AF68" s="365"/>
      <c r="AG68" s="364" t="str">
        <f>IF(ABS(Y68)&lt;=ABS(AD68),"OK !","NO !")</f>
        <v>OK !</v>
      </c>
      <c r="AH68" s="364"/>
      <c r="AI68" s="8" t="s">
        <v>30</v>
      </c>
      <c r="AJ68" s="361">
        <f>ABS(Y68/AD68)</f>
        <v>0.00793777270097834</v>
      </c>
      <c r="AK68" s="361"/>
      <c r="AL68" s="43" t="str">
        <f>IF(AJ68&lt;&gt;AJ73,"*","M")</f>
        <v>*</v>
      </c>
      <c r="AM68" s="362">
        <f>IF(AJ68&lt;&gt;AJ73,"",E64)</f>
      </c>
      <c r="AN68" s="328"/>
      <c r="AO68" s="328"/>
      <c r="AP68" s="363"/>
      <c r="AQ68" s="362">
        <f>IF(AJ68&lt;&gt;AJ73,"",AI68)</f>
      </c>
      <c r="AR68" s="363"/>
      <c r="AS68" s="351">
        <f>IF(AJ68&lt;&gt;AJ73,"",Y68)</f>
      </c>
      <c r="AT68" s="352"/>
      <c r="AU68" s="353">
        <f>IF(AJ68&lt;&gt;AJ73,"",AD68)</f>
      </c>
      <c r="AV68" s="353"/>
      <c r="AW68" s="135">
        <f>IF(AJ68&lt;&gt;AJ73,"",AG68)</f>
      </c>
    </row>
    <row r="69" spans="1:4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1" t="s">
        <v>406</v>
      </c>
      <c r="O69" s="273">
        <f>O68</f>
        <v>-574.9999999999999</v>
      </c>
      <c r="P69" s="273"/>
      <c r="Q69" s="273"/>
      <c r="R69" s="21" t="s">
        <v>452</v>
      </c>
      <c r="S69" s="273">
        <f>AD54</f>
        <v>-798.8451901675891</v>
      </c>
      <c r="T69" s="273"/>
      <c r="U69" s="273"/>
      <c r="V69" s="42" t="s">
        <v>454</v>
      </c>
      <c r="X69" s="8" t="s">
        <v>406</v>
      </c>
      <c r="Y69" s="366">
        <f>O69+S69</f>
        <v>-1373.845190167589</v>
      </c>
      <c r="Z69" s="366"/>
      <c r="AA69" s="366"/>
      <c r="AB69" s="2" t="str">
        <f>AB68</f>
        <v>psi</v>
      </c>
      <c r="AC69" s="26" t="str">
        <f>IF(ABS(Y69)&lt;=ABS(AD69),"&lt;","&gt;")</f>
        <v>&lt;</v>
      </c>
      <c r="AD69" s="365">
        <f>AD68</f>
        <v>28200</v>
      </c>
      <c r="AE69" s="365"/>
      <c r="AF69" s="365"/>
      <c r="AG69" s="364" t="str">
        <f>IF(ABS(Y69)&lt;=ABS(AD69),"OK !","NO !")</f>
        <v>OK !</v>
      </c>
      <c r="AH69" s="364"/>
      <c r="AI69" s="8"/>
      <c r="AJ69" s="361">
        <f>ABS(Y69/AD69)</f>
        <v>0.04871791454494996</v>
      </c>
      <c r="AK69" s="361"/>
      <c r="AL69" s="47" t="str">
        <f>IF(AJ69&lt;&gt;AJ73,"*","M")</f>
        <v>*</v>
      </c>
      <c r="AM69" s="379">
        <f>IF(AJ69&lt;&gt;AJ73,"",E64)</f>
      </c>
      <c r="AN69" s="197"/>
      <c r="AO69" s="197"/>
      <c r="AP69" s="380"/>
      <c r="AQ69" s="379">
        <f>IF(AJ69&lt;&gt;AJ73,"",AI68)</f>
      </c>
      <c r="AR69" s="380"/>
      <c r="AS69" s="502">
        <f>IF(AJ69&lt;&gt;AJ73,"",Y69)</f>
      </c>
      <c r="AT69" s="503"/>
      <c r="AU69" s="504">
        <f>IF(AJ69&lt;&gt;AJ73,"",AD69)</f>
      </c>
      <c r="AV69" s="504"/>
      <c r="AW69" s="142">
        <f>IF(AJ69&lt;&gt;AJ73,"",AG69)</f>
      </c>
    </row>
    <row r="70" spans="1:49" ht="9.75" customHeight="1">
      <c r="A70" s="1"/>
      <c r="B70" s="1"/>
      <c r="C70" s="1"/>
      <c r="D70" s="1"/>
      <c r="E70" s="9" t="str">
        <f>E21</f>
        <v>Stay Plate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C70" s="3"/>
      <c r="AD70" s="360" t="s">
        <v>404</v>
      </c>
      <c r="AE70" s="360"/>
      <c r="AF70" s="360"/>
      <c r="AJ70" s="239"/>
      <c r="AK70" s="229"/>
      <c r="AL70" s="49"/>
      <c r="AM70" s="229" t="b">
        <f>IF(AL59="M",AM59,IF(AL60="M",AM60,IF(AL62="M",AM62,IF(AL63="M",AM63,IF(AL65="M",AM65,IF(AL66="M",AM66,IF(AL68="M",AM68,IF(AL69="M",AM69))))))))</f>
        <v>0</v>
      </c>
      <c r="AN70" s="229"/>
      <c r="AO70" s="229"/>
      <c r="AP70" s="229"/>
      <c r="AQ70" s="229" t="b">
        <f>IF(AL59="M",AQ59,IF(AL60="M",AQ60,IF(AL62="M",AQ62,IF(AL63="M",AQ63,IF(AL65="M",AQ65,IF(AL66="M",AQ66,IF(AL68="M",AQ68,IF(AL69="M",AQ69))))))))</f>
        <v>0</v>
      </c>
      <c r="AR70" s="229"/>
      <c r="AS70" s="422" t="b">
        <f>IF(AL59="M",AS59,IF(AL60="M",AS60,IF(AL62="M",AS62,IF(AL63="M",AS63,IF(AL65="M",AS65,IF(AL66="M",AS66,IF(AL68="M",AS68,IF(AL69="M",AS69))))))))</f>
        <v>0</v>
      </c>
      <c r="AT70" s="422"/>
      <c r="AU70" s="422" t="b">
        <f>IF(AL59="M",AU59,IF(AL60="M",AU60,IF(AL62="M",AU62,IF(AL63="M",AU63,IF(AL65="M",AU65,IF(AL66="M",AU66,IF(AL68="M",AU68,IF(AL69="M",AU69))))))))</f>
        <v>0</v>
      </c>
      <c r="AV70" s="422"/>
      <c r="AW70" s="49" t="b">
        <f>IF(AL59="M",AW59,IF(AL60="M",AW60,IF(AL62="M",AW62,IF(AL63="M",AW63,IF(AL65="M",AW65,IF(AL66="M",AW66,IF(AL68="M",AW68,IF(AL69="M",AW69))))))))</f>
        <v>0</v>
      </c>
    </row>
    <row r="71" spans="1:49" ht="9.75" customHeight="1">
      <c r="A71" s="6"/>
      <c r="B71" s="6"/>
      <c r="C71" s="6"/>
      <c r="D71" s="6"/>
      <c r="E71" s="6"/>
      <c r="F71" s="7" t="s">
        <v>457</v>
      </c>
      <c r="G71" s="6"/>
      <c r="H71" s="6" t="s">
        <v>406</v>
      </c>
      <c r="I71" s="288" t="str">
        <f>F27</f>
        <v>SmSP</v>
      </c>
      <c r="J71" s="288"/>
      <c r="K71" s="6"/>
      <c r="L71" s="6"/>
      <c r="M71" s="6"/>
      <c r="N71" s="21"/>
      <c r="O71" s="273"/>
      <c r="P71" s="275"/>
      <c r="Q71" s="275"/>
      <c r="R71" s="6"/>
      <c r="S71" s="6"/>
      <c r="T71" s="6"/>
      <c r="U71" s="6"/>
      <c r="W71" s="3"/>
      <c r="X71" s="8" t="s">
        <v>406</v>
      </c>
      <c r="Y71" s="366">
        <f>X27</f>
        <v>-7945.442300979381</v>
      </c>
      <c r="Z71" s="366"/>
      <c r="AA71" s="366"/>
      <c r="AB71" s="2" t="str">
        <f>AA27</f>
        <v>psi</v>
      </c>
      <c r="AC71" s="26" t="str">
        <f>IF(ABS(Y71)&lt;=ABS(AD71),"&lt;","&gt;")</f>
        <v>&lt;</v>
      </c>
      <c r="AD71" s="273">
        <f>AD27</f>
        <v>16600</v>
      </c>
      <c r="AE71" s="273"/>
      <c r="AF71" s="273"/>
      <c r="AG71" s="364" t="str">
        <f>IF(ABS(Y71)&lt;=ABS(AD71),"OK !","NO !")</f>
        <v>OK !</v>
      </c>
      <c r="AH71" s="364"/>
      <c r="AI71" s="8" t="s">
        <v>180</v>
      </c>
      <c r="AJ71" s="361">
        <f>ABS(Y71/AD71)</f>
        <v>0.4786411024686374</v>
      </c>
      <c r="AK71" s="361"/>
      <c r="AL71" s="63" t="str">
        <f>IF(AJ71&lt;&gt;AJ73,"*","M")</f>
        <v>M</v>
      </c>
      <c r="AM71" s="379" t="str">
        <f>IF(AJ71&lt;&gt;AJ73,"",E70)</f>
        <v>Stay Plate</v>
      </c>
      <c r="AN71" s="197"/>
      <c r="AO71" s="197"/>
      <c r="AP71" s="380"/>
      <c r="AQ71" s="379" t="str">
        <f>IF(AJ71&lt;&gt;AJ73,"",AI71)</f>
        <v>*</v>
      </c>
      <c r="AR71" s="380"/>
      <c r="AS71" s="505">
        <f>IF(AJ71&lt;&gt;AJ73,"",Y71)</f>
        <v>-7945.442300979381</v>
      </c>
      <c r="AT71" s="506"/>
      <c r="AU71" s="507">
        <f>IF(AJ71&lt;&gt;AJ73,"",AD71)</f>
        <v>16600</v>
      </c>
      <c r="AV71" s="507"/>
      <c r="AW71" s="143" t="str">
        <f>IF(AJ71&lt;&gt;AJ73,"",AG71)</f>
        <v>OK !</v>
      </c>
    </row>
    <row r="72" spans="1:4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  <c r="AJ72" s="227" t="s">
        <v>568</v>
      </c>
      <c r="AK72" s="227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AC73" s="3"/>
      <c r="AJ73" s="274">
        <f>MAX(AJ59,AJ60,AJ62,AJ63,AJ65,AJ66,AJ68,AJ69,AJ71)</f>
        <v>0.4786411024686374</v>
      </c>
      <c r="AK73" s="275"/>
      <c r="AM73" s="304" t="str">
        <f>IF(AM71&lt;&gt;"",AM71,AM70)</f>
        <v>Stay Plate</v>
      </c>
      <c r="AN73" s="304"/>
      <c r="AO73" s="304"/>
      <c r="AP73" s="304"/>
      <c r="AQ73" s="304" t="str">
        <f>IF(AQ71&lt;&gt;"",AQ71,AQ70)</f>
        <v>*</v>
      </c>
      <c r="AR73" s="304"/>
      <c r="AS73" s="350">
        <f>IF(AS71&lt;&gt;"",AS71,AS70)</f>
        <v>-7945.442300979381</v>
      </c>
      <c r="AT73" s="350"/>
      <c r="AU73" s="350">
        <f>IF(AU71&lt;&gt;"",AU71,AU70)</f>
        <v>16600</v>
      </c>
      <c r="AV73" s="350"/>
      <c r="AW73" s="2" t="str">
        <f>IF(AW71&lt;&gt;"",AW71,AW70)</f>
        <v>OK !</v>
      </c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271">
    <mergeCell ref="AS73:AT73"/>
    <mergeCell ref="AU73:AV73"/>
    <mergeCell ref="AJ72:AK72"/>
    <mergeCell ref="AJ73:AK73"/>
    <mergeCell ref="AM73:AP73"/>
    <mergeCell ref="AQ73:AR73"/>
    <mergeCell ref="AU70:AV70"/>
    <mergeCell ref="AJ71:AK71"/>
    <mergeCell ref="AM71:AP71"/>
    <mergeCell ref="AQ71:AR71"/>
    <mergeCell ref="AS71:AT71"/>
    <mergeCell ref="AU71:AV71"/>
    <mergeCell ref="AJ70:AK70"/>
    <mergeCell ref="AM70:AP70"/>
    <mergeCell ref="AQ70:AR70"/>
    <mergeCell ref="AS70:AT70"/>
    <mergeCell ref="AU68:AV68"/>
    <mergeCell ref="AJ69:AK69"/>
    <mergeCell ref="AM69:AP69"/>
    <mergeCell ref="AQ69:AR69"/>
    <mergeCell ref="AS69:AT69"/>
    <mergeCell ref="AU69:AV69"/>
    <mergeCell ref="AJ68:AK68"/>
    <mergeCell ref="AM68:AP68"/>
    <mergeCell ref="AQ68:AR68"/>
    <mergeCell ref="AS68:AT68"/>
    <mergeCell ref="AU65:AV65"/>
    <mergeCell ref="AJ66:AK66"/>
    <mergeCell ref="AM66:AP66"/>
    <mergeCell ref="AQ66:AR66"/>
    <mergeCell ref="AS66:AT66"/>
    <mergeCell ref="AU66:AV66"/>
    <mergeCell ref="AJ65:AK65"/>
    <mergeCell ref="AM65:AP65"/>
    <mergeCell ref="AQ65:AR65"/>
    <mergeCell ref="AS65:AT65"/>
    <mergeCell ref="AU62:AV62"/>
    <mergeCell ref="AJ63:AK63"/>
    <mergeCell ref="AM63:AP63"/>
    <mergeCell ref="AQ63:AR63"/>
    <mergeCell ref="AS63:AT63"/>
    <mergeCell ref="AU63:AV63"/>
    <mergeCell ref="AJ62:AK62"/>
    <mergeCell ref="AM62:AP62"/>
    <mergeCell ref="AQ62:AR62"/>
    <mergeCell ref="AS62:AT62"/>
    <mergeCell ref="AU59:AV59"/>
    <mergeCell ref="AJ60:AK60"/>
    <mergeCell ref="AM60:AP60"/>
    <mergeCell ref="AQ60:AR60"/>
    <mergeCell ref="AS60:AT60"/>
    <mergeCell ref="AU60:AV60"/>
    <mergeCell ref="AJ59:AK59"/>
    <mergeCell ref="AM59:AP59"/>
    <mergeCell ref="AQ59:AR59"/>
    <mergeCell ref="AS59:AT59"/>
    <mergeCell ref="AD46:AF46"/>
    <mergeCell ref="AD47:AF47"/>
    <mergeCell ref="AJ57:AK57"/>
    <mergeCell ref="AJ58:AK58"/>
    <mergeCell ref="AD53:AF53"/>
    <mergeCell ref="AD54:AF54"/>
    <mergeCell ref="AG37:AH37"/>
    <mergeCell ref="AG38:AH38"/>
    <mergeCell ref="AD37:AE37"/>
    <mergeCell ref="AF37:AF38"/>
    <mergeCell ref="AA48:AA49"/>
    <mergeCell ref="AB48:AC48"/>
    <mergeCell ref="AB49:AC49"/>
    <mergeCell ref="V16:W16"/>
    <mergeCell ref="V19:W19"/>
    <mergeCell ref="AC29:AC30"/>
    <mergeCell ref="U29:V29"/>
    <mergeCell ref="Z29:AA29"/>
    <mergeCell ref="U30:V30"/>
    <mergeCell ref="W27:W28"/>
    <mergeCell ref="T35:U35"/>
    <mergeCell ref="T36:U36"/>
    <mergeCell ref="Y66:AA66"/>
    <mergeCell ref="Y69:AA69"/>
    <mergeCell ref="AA37:AB37"/>
    <mergeCell ref="Y42:Y43"/>
    <mergeCell ref="W43:X43"/>
    <mergeCell ref="T42:U42"/>
    <mergeCell ref="W42:X42"/>
    <mergeCell ref="T49:U49"/>
    <mergeCell ref="AD63:AF63"/>
    <mergeCell ref="AD66:AF66"/>
    <mergeCell ref="AD69:AF69"/>
    <mergeCell ref="Y68:AA68"/>
    <mergeCell ref="AD68:AF68"/>
    <mergeCell ref="Y65:AA65"/>
    <mergeCell ref="AD65:AF65"/>
    <mergeCell ref="AG63:AH63"/>
    <mergeCell ref="AG66:AH66"/>
    <mergeCell ref="AG69:AH69"/>
    <mergeCell ref="AG68:AH68"/>
    <mergeCell ref="AG65:AH65"/>
    <mergeCell ref="A1:AH3"/>
    <mergeCell ref="AC6:AG6"/>
    <mergeCell ref="AC7:AD7"/>
    <mergeCell ref="AF7:AG7"/>
    <mergeCell ref="AC8:AG8"/>
    <mergeCell ref="M19:N19"/>
    <mergeCell ref="P19:Q19"/>
    <mergeCell ref="S19:T19"/>
    <mergeCell ref="Y19:AA19"/>
    <mergeCell ref="M16:N16"/>
    <mergeCell ref="P16:Q16"/>
    <mergeCell ref="S16:T16"/>
    <mergeCell ref="AG19:AH19"/>
    <mergeCell ref="AC9:AG9"/>
    <mergeCell ref="M29:N29"/>
    <mergeCell ref="J30:K30"/>
    <mergeCell ref="M30:N30"/>
    <mergeCell ref="R29:R30"/>
    <mergeCell ref="J29:K29"/>
    <mergeCell ref="P29:Q29"/>
    <mergeCell ref="H29:H30"/>
    <mergeCell ref="AD14:AF14"/>
    <mergeCell ref="I27:J27"/>
    <mergeCell ref="H27:H28"/>
    <mergeCell ref="P27:P28"/>
    <mergeCell ref="AD19:AF19"/>
    <mergeCell ref="Y16:AA16"/>
    <mergeCell ref="AD16:AF16"/>
    <mergeCell ref="W23:X23"/>
    <mergeCell ref="AE23:AF23"/>
    <mergeCell ref="F27:G28"/>
    <mergeCell ref="I28:J28"/>
    <mergeCell ref="K27:K28"/>
    <mergeCell ref="L27:O27"/>
    <mergeCell ref="L28:O28"/>
    <mergeCell ref="X27:Z28"/>
    <mergeCell ref="AA27:AB28"/>
    <mergeCell ref="AC27:AC28"/>
    <mergeCell ref="AD27:AF28"/>
    <mergeCell ref="AG27:AH28"/>
    <mergeCell ref="H48:H49"/>
    <mergeCell ref="F35:G36"/>
    <mergeCell ref="H35:H36"/>
    <mergeCell ref="P36:R36"/>
    <mergeCell ref="I37:J37"/>
    <mergeCell ref="L37:M37"/>
    <mergeCell ref="N37:N38"/>
    <mergeCell ref="O37:P38"/>
    <mergeCell ref="Q37:R38"/>
    <mergeCell ref="H37:H38"/>
    <mergeCell ref="I36:J36"/>
    <mergeCell ref="H42:H43"/>
    <mergeCell ref="F46:G47"/>
    <mergeCell ref="H46:H47"/>
    <mergeCell ref="F40:G41"/>
    <mergeCell ref="H40:H41"/>
    <mergeCell ref="I40:J40"/>
    <mergeCell ref="I38:J38"/>
    <mergeCell ref="I42:J42"/>
    <mergeCell ref="F51:G52"/>
    <mergeCell ref="H51:H52"/>
    <mergeCell ref="H53:H54"/>
    <mergeCell ref="Y63:AA63"/>
    <mergeCell ref="O51:O52"/>
    <mergeCell ref="I54:J54"/>
    <mergeCell ref="L54:M54"/>
    <mergeCell ref="T53:U53"/>
    <mergeCell ref="W53:X53"/>
    <mergeCell ref="W54:X54"/>
    <mergeCell ref="AG59:AH59"/>
    <mergeCell ref="O62:Q62"/>
    <mergeCell ref="S62:U62"/>
    <mergeCell ref="Y62:AA62"/>
    <mergeCell ref="AD62:AF62"/>
    <mergeCell ref="AG62:AH62"/>
    <mergeCell ref="O59:Q59"/>
    <mergeCell ref="S59:U59"/>
    <mergeCell ref="Y59:AA59"/>
    <mergeCell ref="AG60:AH60"/>
    <mergeCell ref="I68:J68"/>
    <mergeCell ref="L68:M68"/>
    <mergeCell ref="L59:M59"/>
    <mergeCell ref="I62:J62"/>
    <mergeCell ref="L62:M62"/>
    <mergeCell ref="I71:J71"/>
    <mergeCell ref="Y71:AA71"/>
    <mergeCell ref="AD71:AF71"/>
    <mergeCell ref="AG71:AH71"/>
    <mergeCell ref="O71:Q71"/>
    <mergeCell ref="AD70:AF70"/>
    <mergeCell ref="AD57:AE57"/>
    <mergeCell ref="I35:J35"/>
    <mergeCell ref="K35:K36"/>
    <mergeCell ref="L35:O36"/>
    <mergeCell ref="P35:R35"/>
    <mergeCell ref="S35:S36"/>
    <mergeCell ref="I59:J59"/>
    <mergeCell ref="I65:J65"/>
    <mergeCell ref="L65:M65"/>
    <mergeCell ref="K40:K41"/>
    <mergeCell ref="L40:N40"/>
    <mergeCell ref="O40:O41"/>
    <mergeCell ref="I41:J41"/>
    <mergeCell ref="L41:N41"/>
    <mergeCell ref="L38:M38"/>
    <mergeCell ref="AD38:AE38"/>
    <mergeCell ref="T37:U38"/>
    <mergeCell ref="S37:S38"/>
    <mergeCell ref="V37:W38"/>
    <mergeCell ref="X37:X38"/>
    <mergeCell ref="L42:M42"/>
    <mergeCell ref="O42:P42"/>
    <mergeCell ref="Q42:Q43"/>
    <mergeCell ref="I43:J43"/>
    <mergeCell ref="L43:M43"/>
    <mergeCell ref="I46:J46"/>
    <mergeCell ref="I47:J47"/>
    <mergeCell ref="I48:J48"/>
    <mergeCell ref="L48:M48"/>
    <mergeCell ref="K46:K47"/>
    <mergeCell ref="L46:O46"/>
    <mergeCell ref="L47:O47"/>
    <mergeCell ref="I49:J49"/>
    <mergeCell ref="L49:M49"/>
    <mergeCell ref="I51:J51"/>
    <mergeCell ref="K51:K52"/>
    <mergeCell ref="L51:N51"/>
    <mergeCell ref="I52:J52"/>
    <mergeCell ref="L52:N52"/>
    <mergeCell ref="I53:J53"/>
    <mergeCell ref="L53:M53"/>
    <mergeCell ref="O53:P53"/>
    <mergeCell ref="Q53:Q54"/>
    <mergeCell ref="P46:P47"/>
    <mergeCell ref="Q48:Q49"/>
    <mergeCell ref="T48:U48"/>
    <mergeCell ref="X48:Y48"/>
    <mergeCell ref="O48:P48"/>
    <mergeCell ref="Q46:R46"/>
    <mergeCell ref="Q47:R47"/>
    <mergeCell ref="AD35:AF35"/>
    <mergeCell ref="AD36:AF36"/>
    <mergeCell ref="AD42:AF42"/>
    <mergeCell ref="AD43:AF43"/>
    <mergeCell ref="O60:Q60"/>
    <mergeCell ref="S60:U60"/>
    <mergeCell ref="Y53:Y54"/>
    <mergeCell ref="AD59:AF59"/>
    <mergeCell ref="AD60:AF60"/>
    <mergeCell ref="Y60:AA60"/>
    <mergeCell ref="O69:Q69"/>
    <mergeCell ref="S69:U69"/>
    <mergeCell ref="O63:Q63"/>
    <mergeCell ref="S63:U63"/>
    <mergeCell ref="O66:Q66"/>
    <mergeCell ref="S66:U66"/>
    <mergeCell ref="O68:Q68"/>
    <mergeCell ref="S68:U68"/>
    <mergeCell ref="O65:Q65"/>
    <mergeCell ref="S65:U65"/>
    <mergeCell ref="N23:O23"/>
    <mergeCell ref="Q23:R23"/>
    <mergeCell ref="T23:U23"/>
    <mergeCell ref="N26:O26"/>
    <mergeCell ref="Q26:R26"/>
    <mergeCell ref="T26:U26"/>
    <mergeCell ref="Z26:AA26"/>
    <mergeCell ref="AE26:AF26"/>
    <mergeCell ref="K25:L25"/>
    <mergeCell ref="N25:O25"/>
    <mergeCell ref="Q25:R25"/>
    <mergeCell ref="X25:Y25"/>
    <mergeCell ref="W26:X2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W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217</v>
      </c>
      <c r="C6" s="6"/>
      <c r="D6" s="6"/>
      <c r="E6" s="7" t="str">
        <f>project</f>
        <v>Programming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218</v>
      </c>
      <c r="AA6" s="3"/>
      <c r="AB6" s="3"/>
      <c r="AC6" s="377" t="str">
        <f>docno</f>
        <v>SC - RPV - 100</v>
      </c>
      <c r="AD6" s="377"/>
      <c r="AE6" s="377"/>
      <c r="AF6" s="377"/>
      <c r="AG6" s="377"/>
      <c r="AH6" s="4"/>
    </row>
    <row r="7" spans="1:34" ht="9.75" customHeight="1">
      <c r="A7" s="6"/>
      <c r="B7" s="6" t="s">
        <v>6</v>
      </c>
      <c r="C7" s="6"/>
      <c r="D7" s="6"/>
      <c r="E7" s="7" t="str">
        <f>itemno</f>
        <v>13-17 Example, P430~1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219</v>
      </c>
      <c r="AA7" s="3"/>
      <c r="AB7" s="3"/>
      <c r="AC7" s="311">
        <v>8</v>
      </c>
      <c r="AD7" s="311"/>
      <c r="AE7" s="8" t="s">
        <v>220</v>
      </c>
      <c r="AF7" s="304" t="str">
        <f>sheetqty</f>
        <v>x</v>
      </c>
      <c r="AG7" s="304"/>
      <c r="AH7" s="4"/>
    </row>
    <row r="8" spans="1:34" ht="9.75" customHeight="1">
      <c r="A8" s="6"/>
      <c r="B8" s="6" t="s">
        <v>7</v>
      </c>
      <c r="C8" s="6"/>
      <c r="D8" s="6"/>
      <c r="E8" s="7" t="str">
        <f>service</f>
        <v>Rectangular Vessel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221</v>
      </c>
      <c r="AA8" s="3"/>
      <c r="AB8" s="3"/>
      <c r="AC8" s="377" t="str">
        <f>date</f>
        <v>2018.  2.  10.</v>
      </c>
      <c r="AD8" s="377"/>
      <c r="AE8" s="377"/>
      <c r="AF8" s="377"/>
      <c r="AG8" s="377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222</v>
      </c>
      <c r="AA9" s="3"/>
      <c r="AB9" s="3"/>
      <c r="AC9" s="377">
        <f>revno</f>
        <v>0</v>
      </c>
      <c r="AD9" s="377"/>
      <c r="AE9" s="377"/>
      <c r="AF9" s="377"/>
      <c r="AG9" s="377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486</v>
      </c>
      <c r="D11" s="31" t="s">
        <v>512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6" ht="9.75" customHeight="1">
      <c r="A13" s="6"/>
      <c r="B13" s="6"/>
      <c r="C13" s="6"/>
      <c r="D13" s="7" t="s">
        <v>487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</row>
    <row r="14" spans="1:32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  <c r="AD14" s="360" t="s">
        <v>137</v>
      </c>
      <c r="AE14" s="360"/>
      <c r="AF14" s="360"/>
    </row>
    <row r="15" spans="1:21" ht="9.75" customHeight="1">
      <c r="A15" s="1"/>
      <c r="B15" s="1"/>
      <c r="C15" s="1"/>
      <c r="D15" s="1"/>
      <c r="E15" s="27" t="s">
        <v>106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4" ht="9.75" customHeight="1">
      <c r="A16" s="1"/>
      <c r="B16" s="1"/>
      <c r="C16" s="1"/>
      <c r="D16" s="1"/>
      <c r="E16" s="1"/>
      <c r="F16" s="110" t="s">
        <v>488</v>
      </c>
      <c r="G16" s="110"/>
      <c r="H16" s="103" t="s">
        <v>226</v>
      </c>
      <c r="I16" s="1" t="s">
        <v>551</v>
      </c>
      <c r="J16" s="1"/>
      <c r="K16" s="1"/>
      <c r="L16" s="21" t="s">
        <v>226</v>
      </c>
      <c r="M16" s="275">
        <f>dpress</f>
        <v>-115</v>
      </c>
      <c r="N16" s="275"/>
      <c r="O16" s="21" t="s">
        <v>227</v>
      </c>
      <c r="P16" s="273">
        <f>sbh4</f>
        <v>97.36666666666666</v>
      </c>
      <c r="Q16" s="273"/>
      <c r="R16" s="121" t="s">
        <v>78</v>
      </c>
      <c r="S16" s="275">
        <f>st1</f>
        <v>15.875</v>
      </c>
      <c r="T16" s="275"/>
      <c r="U16" s="8" t="s">
        <v>78</v>
      </c>
      <c r="V16" s="304">
        <f>jen</f>
        <v>0.8</v>
      </c>
      <c r="W16" s="304"/>
      <c r="X16" s="55" t="s">
        <v>226</v>
      </c>
      <c r="Y16" s="383">
        <f>M16*P16/S16/V16</f>
        <v>-881.6666666666665</v>
      </c>
      <c r="Z16" s="383"/>
      <c r="AA16" s="383"/>
      <c r="AB16" s="54" t="str">
        <f>upsx(dpu)</f>
        <v>psi</v>
      </c>
      <c r="AC16" s="101" t="str">
        <f>IF(Y16&lt;=AD16,"&lt;","&gt;")</f>
        <v>&lt;</v>
      </c>
      <c r="AD16" s="413">
        <f>mas</f>
        <v>18800</v>
      </c>
      <c r="AE16" s="413"/>
      <c r="AF16" s="413"/>
      <c r="AG16" s="109" t="str">
        <f>IF(ABS(Y16)&lt;=ABS(AD16),"OK !","NO !")</f>
        <v>OK !</v>
      </c>
      <c r="AH16" s="109"/>
    </row>
    <row r="17" spans="1:29" ht="9.75" customHeight="1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3"/>
      <c r="W17" s="3"/>
      <c r="X17" s="3"/>
      <c r="Y17" s="3"/>
      <c r="Z17" s="3"/>
      <c r="AA17" s="3"/>
      <c r="AB17" s="3"/>
      <c r="AC17" s="3"/>
    </row>
    <row r="18" spans="1:29" ht="9.75" customHeight="1">
      <c r="A18" s="1"/>
      <c r="B18" s="1"/>
      <c r="C18" s="1"/>
      <c r="D18" s="1"/>
      <c r="E18" s="27" t="s">
        <v>107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AC18" s="3"/>
    </row>
    <row r="19" spans="1:34" ht="9.75" customHeight="1">
      <c r="A19" s="6"/>
      <c r="B19" s="6"/>
      <c r="C19" s="6"/>
      <c r="D19" s="6"/>
      <c r="E19" s="6"/>
      <c r="F19" s="27" t="s">
        <v>134</v>
      </c>
      <c r="G19" s="1"/>
      <c r="H19" s="1" t="s">
        <v>226</v>
      </c>
      <c r="I19" s="1" t="s">
        <v>544</v>
      </c>
      <c r="J19" s="1"/>
      <c r="K19" s="1"/>
      <c r="L19" s="1" t="s">
        <v>226</v>
      </c>
      <c r="M19" s="275">
        <f>dpress</f>
        <v>-115</v>
      </c>
      <c r="N19" s="275"/>
      <c r="O19" s="21" t="s">
        <v>227</v>
      </c>
      <c r="P19" s="273">
        <f>sh</f>
        <v>152.39999999999998</v>
      </c>
      <c r="Q19" s="273"/>
      <c r="R19" s="121" t="s">
        <v>552</v>
      </c>
      <c r="S19" s="275">
        <f>lt2</f>
        <v>25.4</v>
      </c>
      <c r="T19" s="275"/>
      <c r="U19" s="8" t="s">
        <v>78</v>
      </c>
      <c r="V19" s="304">
        <f>jem</f>
        <v>0.6</v>
      </c>
      <c r="W19" s="304"/>
      <c r="X19" s="8" t="s">
        <v>226</v>
      </c>
      <c r="Y19" s="366">
        <f>M19*P19/2/S19/V19</f>
        <v>-574.9999999999999</v>
      </c>
      <c r="Z19" s="366"/>
      <c r="AA19" s="366"/>
      <c r="AB19" s="2" t="str">
        <f>upsx(dpu)</f>
        <v>psi</v>
      </c>
      <c r="AC19" s="26" t="str">
        <f>IF(Y19&lt;=AD19,"&lt;","&gt;")</f>
        <v>&lt;</v>
      </c>
      <c r="AD19" s="365">
        <f>mas</f>
        <v>18800</v>
      </c>
      <c r="AE19" s="365"/>
      <c r="AF19" s="365"/>
      <c r="AG19" s="364" t="str">
        <f>IF(ABS(Y19)&lt;=ABS(AD19),"OK !","NO !")</f>
        <v>OK !</v>
      </c>
      <c r="AH19" s="364"/>
    </row>
    <row r="20" spans="1:29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AC20" s="3"/>
    </row>
    <row r="21" spans="1:29" ht="9.75" customHeight="1">
      <c r="A21" s="6"/>
      <c r="B21" s="6"/>
      <c r="C21" s="6"/>
      <c r="D21" s="6"/>
      <c r="E21" s="27" t="s">
        <v>112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  <c r="AC21" s="3"/>
    </row>
    <row r="22" spans="1:32" ht="9.75" customHeight="1">
      <c r="A22" s="1"/>
      <c r="B22" s="1"/>
      <c r="C22" s="1"/>
      <c r="D22" s="1"/>
      <c r="E22" s="1"/>
      <c r="F22" s="63" t="s">
        <v>489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3"/>
      <c r="W22" s="64" t="s">
        <v>490</v>
      </c>
      <c r="X22" s="3"/>
      <c r="AB22" s="3"/>
      <c r="AC22" s="3"/>
      <c r="AD22" s="3"/>
      <c r="AE22" s="3"/>
      <c r="AF22" s="6"/>
    </row>
    <row r="23" spans="1:32" ht="9.75" customHeight="1">
      <c r="A23" s="6"/>
      <c r="B23" s="6"/>
      <c r="C23" s="6"/>
      <c r="D23" s="6"/>
      <c r="E23" s="6"/>
      <c r="F23" s="43" t="s">
        <v>491</v>
      </c>
      <c r="G23" s="43" t="s">
        <v>226</v>
      </c>
      <c r="H23" s="43" t="s">
        <v>301</v>
      </c>
      <c r="I23" s="43"/>
      <c r="J23" s="43"/>
      <c r="K23" s="43"/>
      <c r="L23" s="43"/>
      <c r="M23" s="45" t="s">
        <v>226</v>
      </c>
      <c r="N23" s="445">
        <f>S19</f>
        <v>25.4</v>
      </c>
      <c r="O23" s="328"/>
      <c r="P23" s="45" t="s">
        <v>492</v>
      </c>
      <c r="Q23" s="278">
        <f>AD19</f>
        <v>18800</v>
      </c>
      <c r="R23" s="328"/>
      <c r="S23" s="45" t="s">
        <v>227</v>
      </c>
      <c r="T23" s="295">
        <v>2.1</v>
      </c>
      <c r="U23" s="295"/>
      <c r="V23" s="45" t="s">
        <v>466</v>
      </c>
      <c r="W23" s="328">
        <f>ABS(M19)</f>
        <v>115</v>
      </c>
      <c r="X23" s="328"/>
      <c r="Y23" s="43" t="s">
        <v>493</v>
      </c>
      <c r="Z23" s="43"/>
      <c r="AA23" s="43"/>
      <c r="AB23" s="43"/>
      <c r="AC23" s="43"/>
      <c r="AD23" s="45" t="s">
        <v>226</v>
      </c>
      <c r="AE23" s="443">
        <f>N23*(Q23*T23/W23)^0.5</f>
        <v>470.6232389539197</v>
      </c>
      <c r="AF23" s="443"/>
    </row>
    <row r="24" spans="1:32" ht="9.75" customHeight="1">
      <c r="A24" s="6"/>
      <c r="B24" s="6"/>
      <c r="C24" s="6"/>
      <c r="D24" s="6"/>
      <c r="E24" s="6"/>
      <c r="F24" s="43" t="s">
        <v>494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3"/>
      <c r="X24" s="3"/>
      <c r="Y24" s="3"/>
      <c r="AC24" s="3"/>
      <c r="AD24" s="3"/>
      <c r="AE24" s="3"/>
      <c r="AF24" s="3"/>
    </row>
    <row r="25" spans="1:32" ht="9.75" customHeight="1">
      <c r="A25" s="1"/>
      <c r="B25" s="1"/>
      <c r="C25" s="1"/>
      <c r="D25" s="1"/>
      <c r="E25" s="1"/>
      <c r="F25" s="66" t="s">
        <v>495</v>
      </c>
      <c r="G25" s="43" t="s">
        <v>226</v>
      </c>
      <c r="H25" s="43" t="s">
        <v>496</v>
      </c>
      <c r="I25" s="43"/>
      <c r="J25" s="43" t="s">
        <v>226</v>
      </c>
      <c r="K25" s="328">
        <f>2*P16</f>
        <v>194.73333333333332</v>
      </c>
      <c r="L25" s="328"/>
      <c r="M25" s="45" t="s">
        <v>466</v>
      </c>
      <c r="N25" s="278">
        <f>AE23</f>
        <v>470.6232389539197</v>
      </c>
      <c r="O25" s="328"/>
      <c r="P25" s="45" t="s">
        <v>226</v>
      </c>
      <c r="Q25" s="330">
        <f>K25/N25</f>
        <v>0.4137775554096688</v>
      </c>
      <c r="R25" s="330"/>
      <c r="S25" s="43"/>
      <c r="T25" s="67" t="s">
        <v>497</v>
      </c>
      <c r="U25" s="43"/>
      <c r="V25" s="43" t="s">
        <v>498</v>
      </c>
      <c r="W25" s="45" t="s">
        <v>226</v>
      </c>
      <c r="X25" s="444">
        <f>jstresspara(Q25)</f>
        <v>2.4</v>
      </c>
      <c r="Y25" s="444"/>
      <c r="Z25" s="43"/>
      <c r="AA25" s="68" t="s">
        <v>296</v>
      </c>
      <c r="AB25" s="43"/>
      <c r="AC25" s="44"/>
      <c r="AD25" s="43"/>
      <c r="AE25" s="43"/>
      <c r="AF25" s="43"/>
    </row>
    <row r="26" spans="1:32" ht="9.75" customHeight="1">
      <c r="A26" s="6"/>
      <c r="B26" s="6"/>
      <c r="C26" s="6"/>
      <c r="D26" s="6"/>
      <c r="E26" s="6"/>
      <c r="F26" s="102" t="s">
        <v>311</v>
      </c>
      <c r="G26" s="44" t="s">
        <v>226</v>
      </c>
      <c r="H26" s="44" t="str">
        <f>IF(K25&gt;=AE23,"t2 ( S J / P )^0.5","t2 / β ( S J / P )^0.5")</f>
        <v>t2 / β ( S J / P )^0.5</v>
      </c>
      <c r="I26" s="44"/>
      <c r="J26" s="44"/>
      <c r="K26" s="44"/>
      <c r="L26" s="44"/>
      <c r="M26" s="45" t="s">
        <v>226</v>
      </c>
      <c r="N26" s="445">
        <f>N23</f>
        <v>25.4</v>
      </c>
      <c r="O26" s="328"/>
      <c r="P26" s="45" t="s">
        <v>466</v>
      </c>
      <c r="Q26" s="330">
        <f>IF(K25&gt;=AE23,1,Q25)</f>
        <v>0.4137775554096688</v>
      </c>
      <c r="R26" s="330"/>
      <c r="S26" s="45" t="s">
        <v>492</v>
      </c>
      <c r="T26" s="491">
        <f>Q23</f>
        <v>18800</v>
      </c>
      <c r="U26" s="491"/>
      <c r="V26" s="45" t="s">
        <v>227</v>
      </c>
      <c r="W26" s="328">
        <f>X25</f>
        <v>2.4</v>
      </c>
      <c r="X26" s="328"/>
      <c r="Y26" s="45" t="s">
        <v>466</v>
      </c>
      <c r="Z26" s="328">
        <f>W23</f>
        <v>115</v>
      </c>
      <c r="AA26" s="328"/>
      <c r="AB26" s="44" t="s">
        <v>493</v>
      </c>
      <c r="AC26" s="44"/>
      <c r="AD26" s="45" t="s">
        <v>226</v>
      </c>
      <c r="AE26" s="443">
        <f>N26/Q26*(T26*W26/Z26)^0.5</f>
        <v>1215.9127499425806</v>
      </c>
      <c r="AF26" s="443"/>
    </row>
    <row r="27" spans="1:34" ht="9.75" customHeight="1">
      <c r="A27" s="1"/>
      <c r="B27" s="1"/>
      <c r="C27" s="1"/>
      <c r="D27" s="1"/>
      <c r="E27" s="1"/>
      <c r="F27" s="372" t="s">
        <v>499</v>
      </c>
      <c r="G27" s="372"/>
      <c r="H27" s="367" t="s">
        <v>226</v>
      </c>
      <c r="I27" s="373" t="s">
        <v>500</v>
      </c>
      <c r="J27" s="373"/>
      <c r="K27" s="369" t="s">
        <v>228</v>
      </c>
      <c r="L27" s="275" t="s">
        <v>514</v>
      </c>
      <c r="M27" s="275"/>
      <c r="N27" s="275"/>
      <c r="O27" s="275"/>
      <c r="P27" s="369" t="s">
        <v>236</v>
      </c>
      <c r="W27" s="381" t="s">
        <v>226</v>
      </c>
      <c r="X27" s="383">
        <f>2*J29*M29*P29/PI()/M30^2*(6+U29*(X29-Z29^2))/(3+5*U30)</f>
        <v>-7141.952064475512</v>
      </c>
      <c r="Y27" s="383"/>
      <c r="Z27" s="383"/>
      <c r="AA27" s="412" t="str">
        <f>upsx(dpu)</f>
        <v>psi</v>
      </c>
      <c r="AB27" s="412"/>
      <c r="AC27" s="414" t="str">
        <f>IF(X27&lt;=AD27,"&lt;","&gt;")</f>
        <v>&lt;</v>
      </c>
      <c r="AD27" s="413">
        <f>sbmas</f>
        <v>16600</v>
      </c>
      <c r="AE27" s="413"/>
      <c r="AF27" s="413"/>
      <c r="AG27" s="411" t="str">
        <f>IF(ABS(X27)&lt;=ABS(AD27),"OK !","NO !")</f>
        <v>OK !</v>
      </c>
      <c r="AH27" s="411"/>
    </row>
    <row r="28" spans="1:34" ht="9.75" customHeight="1">
      <c r="A28" s="6"/>
      <c r="B28" s="6"/>
      <c r="C28" s="6"/>
      <c r="D28" s="6"/>
      <c r="E28" s="6"/>
      <c r="F28" s="372"/>
      <c r="G28" s="372"/>
      <c r="H28" s="367"/>
      <c r="I28" s="508" t="s">
        <v>513</v>
      </c>
      <c r="J28" s="227"/>
      <c r="K28" s="369"/>
      <c r="L28" s="227" t="s">
        <v>154</v>
      </c>
      <c r="M28" s="227"/>
      <c r="N28" s="227"/>
      <c r="O28" s="227"/>
      <c r="P28" s="369"/>
      <c r="W28" s="381"/>
      <c r="X28" s="383"/>
      <c r="Y28" s="383"/>
      <c r="Z28" s="383"/>
      <c r="AA28" s="412"/>
      <c r="AB28" s="412"/>
      <c r="AC28" s="414"/>
      <c r="AD28" s="413"/>
      <c r="AE28" s="413"/>
      <c r="AF28" s="413"/>
      <c r="AG28" s="411"/>
      <c r="AH28" s="411"/>
    </row>
    <row r="29" spans="1:29" ht="9.75" customHeight="1">
      <c r="A29" s="1"/>
      <c r="B29" s="1"/>
      <c r="C29" s="1"/>
      <c r="D29" s="1"/>
      <c r="E29" s="1"/>
      <c r="F29" s="1"/>
      <c r="G29" s="1"/>
      <c r="H29" s="367" t="s">
        <v>226</v>
      </c>
      <c r="I29" s="8" t="s">
        <v>501</v>
      </c>
      <c r="J29" s="275">
        <f>dpress</f>
        <v>-115</v>
      </c>
      <c r="K29" s="275"/>
      <c r="L29" s="21" t="s">
        <v>227</v>
      </c>
      <c r="M29" s="273">
        <f>sbh4</f>
        <v>97.36666666666666</v>
      </c>
      <c r="N29" s="273"/>
      <c r="O29" s="8" t="s">
        <v>227</v>
      </c>
      <c r="P29" s="373">
        <f>sbpcha</f>
        <v>304.8</v>
      </c>
      <c r="Q29" s="373"/>
      <c r="R29" s="369" t="s">
        <v>228</v>
      </c>
      <c r="S29" s="8" t="s">
        <v>515</v>
      </c>
      <c r="U29" s="361">
        <f>kei</f>
        <v>1.820444444444444</v>
      </c>
      <c r="V29" s="361"/>
      <c r="W29" s="8" t="s">
        <v>492</v>
      </c>
      <c r="X29" s="8">
        <v>11</v>
      </c>
      <c r="Y29" s="8" t="s">
        <v>502</v>
      </c>
      <c r="Z29" s="361">
        <f>alpha</f>
        <v>0.4444444444444444</v>
      </c>
      <c r="AA29" s="361"/>
      <c r="AB29" s="8" t="s">
        <v>503</v>
      </c>
      <c r="AC29" s="369" t="s">
        <v>236</v>
      </c>
    </row>
    <row r="30" spans="1:29" ht="9.75" customHeight="1">
      <c r="A30" s="1"/>
      <c r="B30" s="1"/>
      <c r="C30" s="1"/>
      <c r="D30" s="1"/>
      <c r="E30" s="1"/>
      <c r="F30" s="1"/>
      <c r="G30" s="1"/>
      <c r="H30" s="367"/>
      <c r="I30" s="10"/>
      <c r="J30" s="508" t="s">
        <v>504</v>
      </c>
      <c r="K30" s="227"/>
      <c r="L30" s="22" t="s">
        <v>227</v>
      </c>
      <c r="M30" s="227">
        <f>sbt4</f>
        <v>25.4</v>
      </c>
      <c r="N30" s="227"/>
      <c r="O30" s="10" t="s">
        <v>230</v>
      </c>
      <c r="P30" s="10"/>
      <c r="Q30" s="10"/>
      <c r="R30" s="369"/>
      <c r="S30" s="23" t="s">
        <v>461</v>
      </c>
      <c r="T30" s="22" t="s">
        <v>516</v>
      </c>
      <c r="U30" s="260">
        <f>U29</f>
        <v>1.820444444444444</v>
      </c>
      <c r="V30" s="227"/>
      <c r="W30" s="23"/>
      <c r="X30" s="23"/>
      <c r="Y30" s="23"/>
      <c r="Z30" s="23"/>
      <c r="AA30" s="10"/>
      <c r="AB30" s="10"/>
      <c r="AC30" s="369"/>
    </row>
    <row r="31" spans="1:29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8" ht="9.75" customHeight="1">
      <c r="A32" s="6"/>
      <c r="B32" s="6"/>
      <c r="C32" s="6"/>
      <c r="D32" s="7" t="s">
        <v>505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</row>
    <row r="33" spans="1:29" ht="9.75" customHeight="1">
      <c r="A33" s="1"/>
      <c r="B33" s="1"/>
      <c r="C33" s="1"/>
      <c r="D33" s="6"/>
      <c r="E33" s="6"/>
      <c r="F33" s="6"/>
      <c r="G33" s="6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C33" s="3"/>
    </row>
    <row r="34" spans="1:29" ht="9.75" customHeight="1">
      <c r="A34" s="6"/>
      <c r="B34" s="6"/>
      <c r="C34" s="6"/>
      <c r="D34" s="1"/>
      <c r="E34" s="9" t="str">
        <f>E15</f>
        <v>Short Side Plate</v>
      </c>
      <c r="F34" s="1"/>
      <c r="G34" s="1"/>
      <c r="H34" s="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3"/>
      <c r="W34" s="3"/>
      <c r="X34" s="3"/>
      <c r="Y34" s="3"/>
      <c r="Z34" s="3"/>
      <c r="AA34" s="3"/>
      <c r="AB34" s="3"/>
      <c r="AC34" s="3"/>
    </row>
    <row r="35" spans="1:34" ht="9.75" customHeight="1">
      <c r="A35" s="1"/>
      <c r="B35" s="1"/>
      <c r="C35" s="1"/>
      <c r="D35" s="1"/>
      <c r="E35" s="1"/>
      <c r="F35" s="372" t="s">
        <v>386</v>
      </c>
      <c r="G35" s="372"/>
      <c r="H35" s="367" t="s">
        <v>226</v>
      </c>
      <c r="I35" s="275" t="s">
        <v>506</v>
      </c>
      <c r="J35" s="275"/>
      <c r="K35" s="369" t="s">
        <v>228</v>
      </c>
      <c r="L35" s="368" t="s">
        <v>141</v>
      </c>
      <c r="M35" s="368"/>
      <c r="N35" s="368"/>
      <c r="O35" s="368"/>
      <c r="P35" s="275" t="s">
        <v>517</v>
      </c>
      <c r="Q35" s="275"/>
      <c r="R35" s="275"/>
      <c r="S35" s="369" t="s">
        <v>229</v>
      </c>
      <c r="T35" s="275">
        <v>1</v>
      </c>
      <c r="U35" s="275"/>
      <c r="AA35" s="42" t="s">
        <v>507</v>
      </c>
      <c r="AC35" s="55" t="s">
        <v>226</v>
      </c>
      <c r="AD35" s="383">
        <f>I37*L37/I38/L38*(-3*Q37^2+2*V37^2*(3+5*AA37^2*AD37)/(3+5*AD38))/AG38</f>
        <v>-8864.077509726369</v>
      </c>
      <c r="AE35" s="383"/>
      <c r="AF35" s="383"/>
      <c r="AG35" s="54" t="str">
        <f>AB16</f>
        <v>psi</v>
      </c>
      <c r="AH35" s="54"/>
    </row>
    <row r="36" spans="1:34" ht="9.75" customHeight="1">
      <c r="A36" s="6"/>
      <c r="B36" s="6"/>
      <c r="C36" s="6"/>
      <c r="D36" s="1"/>
      <c r="E36" s="1"/>
      <c r="F36" s="372"/>
      <c r="G36" s="372"/>
      <c r="H36" s="367"/>
      <c r="I36" s="227" t="s">
        <v>140</v>
      </c>
      <c r="J36" s="227"/>
      <c r="K36" s="369"/>
      <c r="L36" s="368"/>
      <c r="M36" s="368"/>
      <c r="N36" s="368"/>
      <c r="O36" s="368"/>
      <c r="P36" s="227" t="s">
        <v>518</v>
      </c>
      <c r="Q36" s="227"/>
      <c r="R36" s="227"/>
      <c r="S36" s="369"/>
      <c r="T36" s="227" t="s">
        <v>553</v>
      </c>
      <c r="U36" s="227"/>
      <c r="AA36" s="42" t="s">
        <v>508</v>
      </c>
      <c r="AC36" s="55" t="s">
        <v>226</v>
      </c>
      <c r="AD36" s="383">
        <f>I37*(-L37)/I38/L38*(-3*Q37^2+2*V37^2*(3+5*AA37^2*AD37)/(3+5*AD38))/AG38</f>
        <v>8864.077509726369</v>
      </c>
      <c r="AE36" s="383"/>
      <c r="AF36" s="383"/>
      <c r="AG36" s="54" t="str">
        <f>AG35</f>
        <v>psi</v>
      </c>
      <c r="AH36" s="54"/>
    </row>
    <row r="37" spans="1:34" ht="9.75" customHeight="1">
      <c r="A37" s="1"/>
      <c r="B37" s="1"/>
      <c r="C37" s="1"/>
      <c r="D37" s="1"/>
      <c r="E37" s="1"/>
      <c r="F37" s="1"/>
      <c r="G37" s="1"/>
      <c r="H37" s="367" t="s">
        <v>226</v>
      </c>
      <c r="I37" s="275">
        <f>M16</f>
        <v>-115</v>
      </c>
      <c r="J37" s="275"/>
      <c r="K37" s="21" t="s">
        <v>227</v>
      </c>
      <c r="L37" s="370">
        <f>sco1</f>
        <v>-7.9375</v>
      </c>
      <c r="M37" s="370"/>
      <c r="N37" s="369" t="s">
        <v>228</v>
      </c>
      <c r="O37" s="368" t="s">
        <v>144</v>
      </c>
      <c r="P37" s="368"/>
      <c r="Q37" s="407">
        <f>P19</f>
        <v>152.39999999999998</v>
      </c>
      <c r="R37" s="369"/>
      <c r="S37" s="367" t="s">
        <v>230</v>
      </c>
      <c r="T37" s="368" t="s">
        <v>145</v>
      </c>
      <c r="U37" s="368"/>
      <c r="V37" s="407">
        <f>P16</f>
        <v>97.36666666666666</v>
      </c>
      <c r="W37" s="369"/>
      <c r="X37" s="367" t="s">
        <v>232</v>
      </c>
      <c r="Y37" s="2" t="s">
        <v>519</v>
      </c>
      <c r="Z37" s="8" t="s">
        <v>156</v>
      </c>
      <c r="AA37" s="361">
        <f>alpha</f>
        <v>0.4444444444444444</v>
      </c>
      <c r="AB37" s="361"/>
      <c r="AC37" s="33" t="s">
        <v>233</v>
      </c>
      <c r="AD37" s="361">
        <f>kei</f>
        <v>1.820444444444444</v>
      </c>
      <c r="AE37" s="361"/>
      <c r="AF37" s="369" t="s">
        <v>58</v>
      </c>
      <c r="AG37" s="275">
        <v>1</v>
      </c>
      <c r="AH37" s="275"/>
    </row>
    <row r="38" spans="1:34" ht="9.75" customHeight="1">
      <c r="A38" s="1"/>
      <c r="B38" s="1"/>
      <c r="C38" s="1"/>
      <c r="D38" s="6"/>
      <c r="E38" s="6"/>
      <c r="F38" s="6"/>
      <c r="G38" s="6"/>
      <c r="H38" s="367"/>
      <c r="I38" s="227">
        <v>24</v>
      </c>
      <c r="J38" s="227"/>
      <c r="K38" s="22" t="s">
        <v>227</v>
      </c>
      <c r="L38" s="371">
        <f>si1</f>
        <v>333.3956705729167</v>
      </c>
      <c r="M38" s="371"/>
      <c r="N38" s="369"/>
      <c r="O38" s="368"/>
      <c r="P38" s="368"/>
      <c r="Q38" s="369"/>
      <c r="R38" s="369"/>
      <c r="S38" s="367"/>
      <c r="T38" s="368"/>
      <c r="U38" s="368"/>
      <c r="V38" s="369"/>
      <c r="W38" s="369"/>
      <c r="X38" s="367"/>
      <c r="Y38" s="23" t="s">
        <v>520</v>
      </c>
      <c r="Z38" s="10"/>
      <c r="AA38" s="23"/>
      <c r="AB38" s="23"/>
      <c r="AC38" s="22" t="s">
        <v>521</v>
      </c>
      <c r="AD38" s="260">
        <f>AD37</f>
        <v>1.820444444444444</v>
      </c>
      <c r="AE38" s="260"/>
      <c r="AF38" s="369"/>
      <c r="AG38" s="227">
        <f>jen</f>
        <v>0.8</v>
      </c>
      <c r="AH38" s="227"/>
    </row>
    <row r="39" spans="1:29" ht="9.75" customHeight="1">
      <c r="A39" s="1"/>
      <c r="B39" s="1"/>
      <c r="C39" s="1"/>
      <c r="D39" s="6"/>
      <c r="E39" s="6"/>
      <c r="F39" s="6"/>
      <c r="G39" s="6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AC39" s="3"/>
    </row>
    <row r="40" spans="1:28" ht="9.75" customHeight="1">
      <c r="A40" s="6"/>
      <c r="B40" s="6"/>
      <c r="C40" s="6"/>
      <c r="D40" s="6"/>
      <c r="E40" s="1"/>
      <c r="F40" s="372" t="s">
        <v>387</v>
      </c>
      <c r="G40" s="372"/>
      <c r="H40" s="367" t="s">
        <v>226</v>
      </c>
      <c r="I40" s="373" t="s">
        <v>124</v>
      </c>
      <c r="J40" s="373"/>
      <c r="K40" s="369" t="s">
        <v>234</v>
      </c>
      <c r="L40" s="275" t="s">
        <v>155</v>
      </c>
      <c r="M40" s="275"/>
      <c r="N40" s="275"/>
      <c r="O40" s="369" t="s">
        <v>235</v>
      </c>
      <c r="P40" s="6"/>
      <c r="Q40" s="6"/>
      <c r="R40" s="6"/>
      <c r="S40" s="6"/>
      <c r="T40" s="6"/>
      <c r="U40" s="6"/>
      <c r="V40" s="3"/>
      <c r="W40" s="3"/>
      <c r="X40" s="3"/>
      <c r="Y40" s="3"/>
      <c r="Z40" s="3"/>
      <c r="AA40" s="3"/>
      <c r="AB40" s="3"/>
    </row>
    <row r="41" spans="1:28" ht="9.75" customHeight="1">
      <c r="A41" s="1"/>
      <c r="B41" s="1"/>
      <c r="C41" s="1"/>
      <c r="D41" s="6"/>
      <c r="E41" s="6"/>
      <c r="F41" s="372"/>
      <c r="G41" s="372"/>
      <c r="H41" s="367"/>
      <c r="I41" s="227" t="s">
        <v>55</v>
      </c>
      <c r="J41" s="227"/>
      <c r="K41" s="369"/>
      <c r="L41" s="227" t="s">
        <v>154</v>
      </c>
      <c r="M41" s="227"/>
      <c r="N41" s="227"/>
      <c r="O41" s="369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</row>
    <row r="42" spans="1:34" ht="9.75" customHeight="1">
      <c r="A42" s="6"/>
      <c r="B42" s="6"/>
      <c r="C42" s="6"/>
      <c r="D42" s="1"/>
      <c r="E42" s="1"/>
      <c r="F42" s="1"/>
      <c r="G42" s="1"/>
      <c r="H42" s="367" t="s">
        <v>226</v>
      </c>
      <c r="I42" s="275">
        <f>I37</f>
        <v>-115</v>
      </c>
      <c r="J42" s="275"/>
      <c r="K42" s="1" t="s">
        <v>227</v>
      </c>
      <c r="L42" s="273">
        <f>V37</f>
        <v>97.36666666666666</v>
      </c>
      <c r="M42" s="275"/>
      <c r="N42" s="34" t="s">
        <v>233</v>
      </c>
      <c r="O42" s="370">
        <f>L37</f>
        <v>-7.9375</v>
      </c>
      <c r="P42" s="370"/>
      <c r="Q42" s="369" t="s">
        <v>234</v>
      </c>
      <c r="R42" s="2" t="s">
        <v>519</v>
      </c>
      <c r="S42" s="8" t="s">
        <v>522</v>
      </c>
      <c r="T42" s="361">
        <f>AA37</f>
        <v>0.4444444444444444</v>
      </c>
      <c r="U42" s="361"/>
      <c r="V42" s="33" t="s">
        <v>233</v>
      </c>
      <c r="W42" s="361">
        <f>AD37</f>
        <v>1.820444444444444</v>
      </c>
      <c r="X42" s="361"/>
      <c r="Y42" s="369" t="s">
        <v>235</v>
      </c>
      <c r="AA42" s="42" t="s">
        <v>507</v>
      </c>
      <c r="AC42" s="55" t="s">
        <v>226</v>
      </c>
      <c r="AD42" s="383">
        <f>I42*L42^2*O42/I43/L43*(3+5*T42^2*W42)/(3+5*W43)</f>
        <v>857.5379922189023</v>
      </c>
      <c r="AE42" s="383"/>
      <c r="AF42" s="383"/>
      <c r="AG42" s="54" t="str">
        <f>AG35</f>
        <v>psi</v>
      </c>
      <c r="AH42" s="54"/>
    </row>
    <row r="43" spans="1:34" ht="9.75" customHeight="1">
      <c r="A43" s="6"/>
      <c r="B43" s="6"/>
      <c r="C43" s="6"/>
      <c r="D43" s="6"/>
      <c r="E43" s="6"/>
      <c r="F43" s="6"/>
      <c r="G43" s="6"/>
      <c r="H43" s="367"/>
      <c r="I43" s="227">
        <v>12</v>
      </c>
      <c r="J43" s="227"/>
      <c r="K43" s="23" t="s">
        <v>227</v>
      </c>
      <c r="L43" s="371">
        <f>L38</f>
        <v>333.3956705729167</v>
      </c>
      <c r="M43" s="227"/>
      <c r="N43" s="23"/>
      <c r="O43" s="23"/>
      <c r="P43" s="23"/>
      <c r="Q43" s="369"/>
      <c r="R43" s="23" t="s">
        <v>520</v>
      </c>
      <c r="S43" s="10"/>
      <c r="T43" s="23"/>
      <c r="U43" s="23"/>
      <c r="V43" s="22" t="s">
        <v>523</v>
      </c>
      <c r="W43" s="260">
        <f>W42</f>
        <v>1.820444444444444</v>
      </c>
      <c r="X43" s="260"/>
      <c r="Y43" s="369"/>
      <c r="AA43" s="42" t="s">
        <v>508</v>
      </c>
      <c r="AC43" s="55" t="s">
        <v>226</v>
      </c>
      <c r="AD43" s="383">
        <f>I42*L42^2*(-O42)/I43/L43*(3+5*T42^2*W42)/(3+5*W43)</f>
        <v>-857.5379922189023</v>
      </c>
      <c r="AE43" s="383"/>
      <c r="AF43" s="383"/>
      <c r="AG43" s="54" t="str">
        <f>AG42</f>
        <v>psi</v>
      </c>
      <c r="AH43" s="54"/>
    </row>
    <row r="44" spans="1:29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</row>
    <row r="45" spans="1:29" ht="9.75" customHeight="1">
      <c r="A45" s="6"/>
      <c r="B45" s="6"/>
      <c r="C45" s="6"/>
      <c r="D45" s="1"/>
      <c r="E45" s="9" t="str">
        <f>E18</f>
        <v>Long Side Plate</v>
      </c>
      <c r="F45" s="1"/>
      <c r="G45" s="1"/>
      <c r="H45" s="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  <c r="AC45" s="3"/>
    </row>
    <row r="46" spans="1:33" ht="9.75" customHeight="1">
      <c r="A46" s="1"/>
      <c r="B46" s="1"/>
      <c r="C46" s="1"/>
      <c r="D46" s="1"/>
      <c r="E46" s="1"/>
      <c r="F46" s="372" t="s">
        <v>388</v>
      </c>
      <c r="G46" s="372"/>
      <c r="H46" s="367" t="s">
        <v>226</v>
      </c>
      <c r="I46" s="373" t="s">
        <v>124</v>
      </c>
      <c r="J46" s="373"/>
      <c r="K46" s="369" t="s">
        <v>228</v>
      </c>
      <c r="L46" s="275" t="s">
        <v>463</v>
      </c>
      <c r="M46" s="275"/>
      <c r="N46" s="275"/>
      <c r="O46" s="275"/>
      <c r="P46" s="369" t="s">
        <v>236</v>
      </c>
      <c r="Q46" s="275">
        <v>1</v>
      </c>
      <c r="R46" s="275"/>
      <c r="S46" s="1"/>
      <c r="T46" s="1"/>
      <c r="U46" s="1"/>
      <c r="AA46" s="42" t="s">
        <v>507</v>
      </c>
      <c r="AC46" s="55" t="s">
        <v>226</v>
      </c>
      <c r="AD46" s="383">
        <f>I48*L48^2*O48/I49/L49*(3+T48*(6-X48^2))/(3+5*T49)/AB49</f>
        <v>1578.2025183742749</v>
      </c>
      <c r="AE46" s="383"/>
      <c r="AF46" s="383"/>
      <c r="AG46" s="54" t="str">
        <f>AB19</f>
        <v>psi</v>
      </c>
    </row>
    <row r="47" spans="1:33" ht="9.75" customHeight="1">
      <c r="A47" s="6"/>
      <c r="B47" s="6"/>
      <c r="C47" s="6"/>
      <c r="D47" s="1"/>
      <c r="E47" s="1"/>
      <c r="F47" s="372"/>
      <c r="G47" s="372"/>
      <c r="H47" s="367"/>
      <c r="I47" s="227" t="s">
        <v>509</v>
      </c>
      <c r="J47" s="227"/>
      <c r="K47" s="369"/>
      <c r="L47" s="227" t="s">
        <v>154</v>
      </c>
      <c r="M47" s="227"/>
      <c r="N47" s="227"/>
      <c r="O47" s="227"/>
      <c r="P47" s="369"/>
      <c r="Q47" s="227" t="s">
        <v>547</v>
      </c>
      <c r="R47" s="227"/>
      <c r="S47" s="6"/>
      <c r="T47" s="6"/>
      <c r="U47" s="6"/>
      <c r="V47" s="3"/>
      <c r="W47" s="3"/>
      <c r="X47" s="3"/>
      <c r="Y47" s="3"/>
      <c r="Z47" s="3"/>
      <c r="AA47" s="42" t="s">
        <v>508</v>
      </c>
      <c r="AC47" s="55" t="s">
        <v>226</v>
      </c>
      <c r="AD47" s="383">
        <f>I48*L48^2*(-O48)/I49/L49*(3+T48*(6-X48^2))/(3+5*T49)/AB49</f>
        <v>-1578.2025183742749</v>
      </c>
      <c r="AE47" s="383"/>
      <c r="AF47" s="383"/>
      <c r="AG47" s="54" t="str">
        <f>AG46</f>
        <v>psi</v>
      </c>
    </row>
    <row r="48" spans="1:34" ht="9.75" customHeight="1">
      <c r="A48" s="1"/>
      <c r="B48" s="1"/>
      <c r="C48" s="1"/>
      <c r="D48" s="1"/>
      <c r="E48" s="1"/>
      <c r="F48" s="1"/>
      <c r="G48" s="1"/>
      <c r="H48" s="367" t="s">
        <v>226</v>
      </c>
      <c r="I48" s="275">
        <f>M19</f>
        <v>-115</v>
      </c>
      <c r="J48" s="275"/>
      <c r="K48" s="1" t="s">
        <v>227</v>
      </c>
      <c r="L48" s="273">
        <f>P16</f>
        <v>97.36666666666666</v>
      </c>
      <c r="M48" s="275"/>
      <c r="N48" s="34" t="s">
        <v>233</v>
      </c>
      <c r="O48" s="370">
        <f>lco2</f>
        <v>-12.7</v>
      </c>
      <c r="P48" s="370"/>
      <c r="Q48" s="369" t="s">
        <v>228</v>
      </c>
      <c r="R48" s="1" t="s">
        <v>520</v>
      </c>
      <c r="S48" s="3"/>
      <c r="T48" s="274">
        <f>kei</f>
        <v>1.820444444444444</v>
      </c>
      <c r="U48" s="274"/>
      <c r="V48" s="21" t="s">
        <v>492</v>
      </c>
      <c r="W48" s="8" t="s">
        <v>524</v>
      </c>
      <c r="X48" s="361">
        <f>alpha</f>
        <v>0.4444444444444444</v>
      </c>
      <c r="Y48" s="361"/>
      <c r="Z48" s="2" t="s">
        <v>503</v>
      </c>
      <c r="AA48" s="369" t="s">
        <v>236</v>
      </c>
      <c r="AB48" s="275">
        <v>1</v>
      </c>
      <c r="AC48" s="275"/>
      <c r="AD48" s="54"/>
      <c r="AH48" s="54"/>
    </row>
    <row r="49" spans="1:34" ht="9.75" customHeight="1">
      <c r="A49" s="1"/>
      <c r="B49" s="1"/>
      <c r="C49" s="1"/>
      <c r="D49" s="6"/>
      <c r="E49" s="6"/>
      <c r="F49" s="6"/>
      <c r="G49" s="6"/>
      <c r="H49" s="367"/>
      <c r="I49" s="227">
        <v>12</v>
      </c>
      <c r="J49" s="227"/>
      <c r="K49" s="23" t="s">
        <v>227</v>
      </c>
      <c r="L49" s="371">
        <f>li2</f>
        <v>1365.5886666666665</v>
      </c>
      <c r="M49" s="227"/>
      <c r="N49" s="23"/>
      <c r="O49" s="23"/>
      <c r="P49" s="23"/>
      <c r="Q49" s="369"/>
      <c r="R49" s="10" t="s">
        <v>520</v>
      </c>
      <c r="S49" s="22" t="s">
        <v>523</v>
      </c>
      <c r="T49" s="260">
        <f>T48</f>
        <v>1.820444444444444</v>
      </c>
      <c r="U49" s="227"/>
      <c r="V49" s="10"/>
      <c r="W49" s="10"/>
      <c r="X49" s="10"/>
      <c r="Y49" s="10"/>
      <c r="Z49" s="10"/>
      <c r="AA49" s="369"/>
      <c r="AB49" s="227">
        <f>jem</f>
        <v>0.6</v>
      </c>
      <c r="AC49" s="227"/>
      <c r="AD49" s="54"/>
      <c r="AH49" s="54"/>
    </row>
    <row r="50" spans="1:29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AC50" s="3"/>
    </row>
    <row r="51" spans="1:28" ht="9.75" customHeight="1">
      <c r="A51" s="6"/>
      <c r="B51" s="6"/>
      <c r="C51" s="6"/>
      <c r="D51" s="6"/>
      <c r="E51" s="6"/>
      <c r="F51" s="372" t="s">
        <v>389</v>
      </c>
      <c r="G51" s="372"/>
      <c r="H51" s="367" t="s">
        <v>226</v>
      </c>
      <c r="I51" s="373" t="s">
        <v>124</v>
      </c>
      <c r="J51" s="373"/>
      <c r="K51" s="369" t="s">
        <v>234</v>
      </c>
      <c r="L51" s="275" t="s">
        <v>525</v>
      </c>
      <c r="M51" s="275"/>
      <c r="N51" s="275"/>
      <c r="O51" s="369" t="s">
        <v>235</v>
      </c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</row>
    <row r="52" spans="1:28" ht="9.75" customHeight="1">
      <c r="A52" s="1"/>
      <c r="B52" s="1"/>
      <c r="C52" s="1"/>
      <c r="D52" s="6"/>
      <c r="E52" s="6"/>
      <c r="F52" s="372"/>
      <c r="G52" s="372"/>
      <c r="H52" s="367"/>
      <c r="I52" s="227" t="s">
        <v>509</v>
      </c>
      <c r="J52" s="227"/>
      <c r="K52" s="369"/>
      <c r="L52" s="227" t="s">
        <v>154</v>
      </c>
      <c r="M52" s="227"/>
      <c r="N52" s="227"/>
      <c r="O52" s="369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</row>
    <row r="53" spans="1:34" ht="9.75" customHeight="1">
      <c r="A53" s="6"/>
      <c r="B53" s="6"/>
      <c r="C53" s="6"/>
      <c r="D53" s="1"/>
      <c r="E53" s="1"/>
      <c r="F53" s="1"/>
      <c r="G53" s="1"/>
      <c r="H53" s="367" t="s">
        <v>226</v>
      </c>
      <c r="I53" s="275">
        <f>I48</f>
        <v>-115</v>
      </c>
      <c r="J53" s="275"/>
      <c r="K53" s="1" t="s">
        <v>227</v>
      </c>
      <c r="L53" s="273">
        <f>L48</f>
        <v>97.36666666666666</v>
      </c>
      <c r="M53" s="275"/>
      <c r="N53" s="34" t="s">
        <v>233</v>
      </c>
      <c r="O53" s="370">
        <f>O48</f>
        <v>-12.7</v>
      </c>
      <c r="P53" s="370"/>
      <c r="Q53" s="369" t="s">
        <v>234</v>
      </c>
      <c r="R53" s="2" t="s">
        <v>526</v>
      </c>
      <c r="S53" s="8" t="s">
        <v>522</v>
      </c>
      <c r="T53" s="361">
        <f>X48</f>
        <v>0.4444444444444444</v>
      </c>
      <c r="U53" s="361"/>
      <c r="V53" s="33" t="s">
        <v>233</v>
      </c>
      <c r="W53" s="361">
        <f>T48</f>
        <v>1.820444444444444</v>
      </c>
      <c r="X53" s="361"/>
      <c r="Y53" s="369" t="s">
        <v>235</v>
      </c>
      <c r="AA53" s="42" t="s">
        <v>507</v>
      </c>
      <c r="AC53" s="55" t="s">
        <v>226</v>
      </c>
      <c r="AD53" s="383">
        <f>I53*L53^2*O53/I54/L54*(3+5*T53^2*W53)/(3+5*W54)</f>
        <v>334.97577821050874</v>
      </c>
      <c r="AE53" s="383"/>
      <c r="AF53" s="383"/>
      <c r="AG53" s="54" t="str">
        <f>AG46</f>
        <v>psi</v>
      </c>
      <c r="AH53" s="54"/>
    </row>
    <row r="54" spans="1:34" ht="9.75" customHeight="1">
      <c r="A54" s="6"/>
      <c r="B54" s="6"/>
      <c r="C54" s="6"/>
      <c r="D54" s="6"/>
      <c r="E54" s="6"/>
      <c r="F54" s="6"/>
      <c r="G54" s="6"/>
      <c r="H54" s="367"/>
      <c r="I54" s="227">
        <v>12</v>
      </c>
      <c r="J54" s="227"/>
      <c r="K54" s="23" t="s">
        <v>227</v>
      </c>
      <c r="L54" s="371">
        <f>L49</f>
        <v>1365.5886666666665</v>
      </c>
      <c r="M54" s="227"/>
      <c r="N54" s="23"/>
      <c r="O54" s="23"/>
      <c r="P54" s="23"/>
      <c r="Q54" s="369"/>
      <c r="R54" s="23" t="s">
        <v>520</v>
      </c>
      <c r="S54" s="10"/>
      <c r="T54" s="23"/>
      <c r="U54" s="32"/>
      <c r="V54" s="22" t="s">
        <v>523</v>
      </c>
      <c r="W54" s="260">
        <f>W53</f>
        <v>1.820444444444444</v>
      </c>
      <c r="X54" s="260"/>
      <c r="Y54" s="369"/>
      <c r="Z54" s="3"/>
      <c r="AA54" s="42" t="s">
        <v>508</v>
      </c>
      <c r="AC54" s="55" t="s">
        <v>226</v>
      </c>
      <c r="AD54" s="383">
        <f>I53*L53^2*(-O53)/I54/L54*(1+2*T53^2*W53)/(1+2*W54)</f>
        <v>-312.99917891868046</v>
      </c>
      <c r="AE54" s="383"/>
      <c r="AF54" s="383"/>
      <c r="AG54" s="54" t="str">
        <f>AG53</f>
        <v>psi</v>
      </c>
      <c r="AH54" s="54"/>
    </row>
    <row r="55" spans="1:29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3"/>
    </row>
    <row r="56" spans="1:29" ht="9.75" customHeight="1">
      <c r="A56" s="1"/>
      <c r="B56" s="1"/>
      <c r="C56" s="1"/>
      <c r="D56" s="9" t="s">
        <v>510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</row>
    <row r="57" spans="1:37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  <c r="AD57" s="284">
        <v>1.5</v>
      </c>
      <c r="AE57" s="284"/>
      <c r="AF57" s="30" t="s">
        <v>138</v>
      </c>
      <c r="AJ57" s="275" t="s">
        <v>566</v>
      </c>
      <c r="AK57" s="275"/>
    </row>
    <row r="58" spans="1:37" ht="9.75" customHeight="1">
      <c r="A58" s="1"/>
      <c r="B58" s="1"/>
      <c r="C58" s="1"/>
      <c r="D58" s="1"/>
      <c r="E58" s="9" t="str">
        <f>E15</f>
        <v>Short Side Plate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C58" s="3"/>
      <c r="AJ58" s="360" t="s">
        <v>567</v>
      </c>
      <c r="AK58" s="360"/>
    </row>
    <row r="59" spans="1:49" ht="9.75" customHeight="1">
      <c r="A59" s="1"/>
      <c r="B59" s="1"/>
      <c r="C59" s="1"/>
      <c r="D59" s="1"/>
      <c r="E59" s="1"/>
      <c r="F59" s="9" t="s">
        <v>237</v>
      </c>
      <c r="G59" s="1"/>
      <c r="H59" s="1" t="s">
        <v>226</v>
      </c>
      <c r="I59" s="288" t="str">
        <f>F16</f>
        <v>SmS</v>
      </c>
      <c r="J59" s="288"/>
      <c r="K59" s="21"/>
      <c r="L59" s="288" t="str">
        <f>F35</f>
        <v>(Sb)N</v>
      </c>
      <c r="M59" s="288"/>
      <c r="N59" s="21" t="s">
        <v>226</v>
      </c>
      <c r="O59" s="273">
        <f>Y16</f>
        <v>-881.6666666666665</v>
      </c>
      <c r="P59" s="273"/>
      <c r="Q59" s="273"/>
      <c r="R59" s="21" t="s">
        <v>231</v>
      </c>
      <c r="S59" s="273">
        <f>AD35</f>
        <v>-8864.077509726369</v>
      </c>
      <c r="T59" s="273"/>
      <c r="U59" s="273"/>
      <c r="V59" s="42" t="s">
        <v>368</v>
      </c>
      <c r="X59" s="8" t="s">
        <v>226</v>
      </c>
      <c r="Y59" s="366">
        <f>O59+S59</f>
        <v>-9745.744176393035</v>
      </c>
      <c r="Z59" s="366"/>
      <c r="AA59" s="366"/>
      <c r="AB59" s="2" t="str">
        <f>AG35</f>
        <v>psi</v>
      </c>
      <c r="AC59" s="26" t="str">
        <f>IF(ABS(Y59)&lt;=ABS(AD59),"&lt;","&gt;")</f>
        <v>&lt;</v>
      </c>
      <c r="AD59" s="365">
        <f>AD57*mas</f>
        <v>28200</v>
      </c>
      <c r="AE59" s="365"/>
      <c r="AF59" s="365"/>
      <c r="AG59" s="364" t="str">
        <f>IF(ABS(Y59)&lt;=ABS(AD59),"OK !","NO !")</f>
        <v>OK !</v>
      </c>
      <c r="AH59" s="364"/>
      <c r="AI59" s="8" t="s">
        <v>579</v>
      </c>
      <c r="AJ59" s="361">
        <f>ABS(Y59/AD59)</f>
        <v>0.34559376512032036</v>
      </c>
      <c r="AK59" s="361"/>
      <c r="AL59" s="43" t="str">
        <f>IF(AJ59&lt;&gt;AJ73,"*","M")</f>
        <v>*</v>
      </c>
      <c r="AM59" s="362">
        <f>IF(AJ59&lt;&gt;AJ73,"",E58)</f>
      </c>
      <c r="AN59" s="328"/>
      <c r="AO59" s="328"/>
      <c r="AP59" s="363"/>
      <c r="AQ59" s="362">
        <f>IF(AJ59&lt;&gt;AJ73,"",AI59)</f>
      </c>
      <c r="AR59" s="363"/>
      <c r="AS59" s="351">
        <f>IF(AJ59&lt;&gt;AJ73,"",Y59)</f>
      </c>
      <c r="AT59" s="352"/>
      <c r="AU59" s="353">
        <f>IF(AJ59&lt;&gt;AJ73,"",AD59)</f>
      </c>
      <c r="AV59" s="353"/>
      <c r="AW59" s="135">
        <f>IF(AJ59&lt;&gt;AJ73,"",AG59)</f>
      </c>
    </row>
    <row r="60" spans="1:4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1" t="s">
        <v>226</v>
      </c>
      <c r="O60" s="273">
        <f>O59</f>
        <v>-881.6666666666665</v>
      </c>
      <c r="P60" s="273"/>
      <c r="Q60" s="273"/>
      <c r="R60" s="21" t="s">
        <v>231</v>
      </c>
      <c r="S60" s="273">
        <f>AD36</f>
        <v>8864.077509726369</v>
      </c>
      <c r="T60" s="273"/>
      <c r="U60" s="273"/>
      <c r="V60" s="42" t="s">
        <v>367</v>
      </c>
      <c r="X60" s="8" t="s">
        <v>226</v>
      </c>
      <c r="Y60" s="366">
        <f>O60+S60</f>
        <v>7982.4108430597025</v>
      </c>
      <c r="Z60" s="366"/>
      <c r="AA60" s="366"/>
      <c r="AB60" s="2" t="str">
        <f>AB59</f>
        <v>psi</v>
      </c>
      <c r="AC60" s="26" t="str">
        <f>IF(ABS(Y60)&lt;=ABS(AD60),"&lt;","&gt;")</f>
        <v>&lt;</v>
      </c>
      <c r="AD60" s="365">
        <f>AD59</f>
        <v>28200</v>
      </c>
      <c r="AE60" s="365"/>
      <c r="AF60" s="365"/>
      <c r="AG60" s="364" t="str">
        <f>IF(ABS(Y60)&lt;=ABS(AD60),"OK !","NO !")</f>
        <v>OK !</v>
      </c>
      <c r="AH60" s="364"/>
      <c r="AJ60" s="361">
        <f>ABS(Y60/AD60)</f>
        <v>0.28306421429289724</v>
      </c>
      <c r="AK60" s="361"/>
      <c r="AL60" s="43" t="str">
        <f>IF(AJ60&lt;&gt;AJ73,"*","M")</f>
        <v>*</v>
      </c>
      <c r="AM60" s="362">
        <f>IF(AJ60&lt;&gt;AJ73,"",E58)</f>
      </c>
      <c r="AN60" s="328"/>
      <c r="AO60" s="328"/>
      <c r="AP60" s="363"/>
      <c r="AQ60" s="362">
        <f>IF(AJ60&lt;&gt;AJ73,"",AI59)</f>
      </c>
      <c r="AR60" s="363"/>
      <c r="AS60" s="351">
        <f>IF(AJ60&lt;&gt;AJ73,"",Y60)</f>
      </c>
      <c r="AT60" s="352"/>
      <c r="AU60" s="353">
        <f>IF(AJ60&lt;&gt;AJ73,"",AD60)</f>
      </c>
      <c r="AV60" s="353"/>
      <c r="AW60" s="135">
        <f>IF(AJ60&lt;&gt;AJ73,"",AG60)</f>
      </c>
    </row>
    <row r="61" spans="1:49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  <c r="AM61" s="133"/>
      <c r="AN61" s="1"/>
      <c r="AO61" s="1"/>
      <c r="AP61" s="134"/>
      <c r="AS61" s="133"/>
      <c r="AT61" s="134"/>
      <c r="AW61" s="133"/>
    </row>
    <row r="62" spans="1:49" ht="9.75" customHeight="1">
      <c r="A62" s="1"/>
      <c r="B62" s="1"/>
      <c r="C62" s="1"/>
      <c r="D62" s="1"/>
      <c r="E62" s="1"/>
      <c r="F62" s="9" t="s">
        <v>238</v>
      </c>
      <c r="G62" s="1"/>
      <c r="H62" s="1" t="s">
        <v>226</v>
      </c>
      <c r="I62" s="288" t="str">
        <f>F16</f>
        <v>SmS</v>
      </c>
      <c r="J62" s="288"/>
      <c r="K62" s="21"/>
      <c r="L62" s="288" t="str">
        <f>F40</f>
        <v>(Sb)QS</v>
      </c>
      <c r="M62" s="288"/>
      <c r="N62" s="21" t="s">
        <v>226</v>
      </c>
      <c r="O62" s="273">
        <f>O59</f>
        <v>-881.6666666666665</v>
      </c>
      <c r="P62" s="273"/>
      <c r="Q62" s="273"/>
      <c r="R62" s="21" t="s">
        <v>231</v>
      </c>
      <c r="S62" s="273">
        <f>AD42</f>
        <v>857.5379922189023</v>
      </c>
      <c r="T62" s="273"/>
      <c r="U62" s="273"/>
      <c r="V62" s="42" t="s">
        <v>368</v>
      </c>
      <c r="X62" s="8" t="s">
        <v>226</v>
      </c>
      <c r="Y62" s="366">
        <f>O62+S62</f>
        <v>-24.128674447764183</v>
      </c>
      <c r="Z62" s="366"/>
      <c r="AA62" s="366"/>
      <c r="AB62" s="2" t="str">
        <f>AB59</f>
        <v>psi</v>
      </c>
      <c r="AC62" s="26" t="str">
        <f>IF(ABS(Y62)&lt;=ABS(AD62),"&lt;","&gt;")</f>
        <v>&lt;</v>
      </c>
      <c r="AD62" s="365">
        <f>AD57*mas</f>
        <v>28200</v>
      </c>
      <c r="AE62" s="365"/>
      <c r="AF62" s="365"/>
      <c r="AG62" s="364" t="str">
        <f>IF(ABS(Y62)&lt;=ABS(AD62),"OK !","NO !")</f>
        <v>OK !</v>
      </c>
      <c r="AH62" s="364"/>
      <c r="AI62" s="8" t="s">
        <v>30</v>
      </c>
      <c r="AJ62" s="361">
        <f>ABS(Y62/AD62)</f>
        <v>0.000855626753466815</v>
      </c>
      <c r="AK62" s="361"/>
      <c r="AL62" s="43" t="str">
        <f>IF(AJ62&lt;&gt;AJ73,"*","M")</f>
        <v>*</v>
      </c>
      <c r="AM62" s="362">
        <f>IF(AJ62&lt;&gt;AJ73,"",E58)</f>
      </c>
      <c r="AN62" s="328"/>
      <c r="AO62" s="328"/>
      <c r="AP62" s="363"/>
      <c r="AQ62" s="362">
        <f>IF(AJ62&lt;&gt;AJ73,"",AI62)</f>
      </c>
      <c r="AR62" s="363"/>
      <c r="AS62" s="351">
        <f>IF(AJ62&lt;&gt;AJ73,"",Y62)</f>
      </c>
      <c r="AT62" s="352"/>
      <c r="AU62" s="353">
        <f>IF(AJ62&lt;&gt;AJ73,"",AD62)</f>
      </c>
      <c r="AV62" s="353"/>
      <c r="AW62" s="135">
        <f>IF(AJ62&lt;&gt;AJ73,"",AG62)</f>
      </c>
    </row>
    <row r="63" spans="1:4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1" t="s">
        <v>226</v>
      </c>
      <c r="O63" s="273">
        <f>O62</f>
        <v>-881.6666666666665</v>
      </c>
      <c r="P63" s="273"/>
      <c r="Q63" s="273"/>
      <c r="R63" s="21" t="s">
        <v>231</v>
      </c>
      <c r="S63" s="273">
        <f>AD43</f>
        <v>-857.5379922189023</v>
      </c>
      <c r="T63" s="273"/>
      <c r="U63" s="273"/>
      <c r="V63" s="42" t="s">
        <v>367</v>
      </c>
      <c r="W63" s="3"/>
      <c r="X63" s="8" t="s">
        <v>226</v>
      </c>
      <c r="Y63" s="366">
        <f>O63+S63</f>
        <v>-1739.2046588855687</v>
      </c>
      <c r="Z63" s="366"/>
      <c r="AA63" s="366"/>
      <c r="AB63" s="2" t="str">
        <f>AB62</f>
        <v>psi</v>
      </c>
      <c r="AC63" s="26" t="str">
        <f>IF(ABS(Y63)&lt;=ABS(AD63),"&lt;","&gt;")</f>
        <v>&lt;</v>
      </c>
      <c r="AD63" s="365">
        <f>AD62</f>
        <v>28200</v>
      </c>
      <c r="AE63" s="365"/>
      <c r="AF63" s="365"/>
      <c r="AG63" s="364" t="str">
        <f>IF(ABS(Y63)&lt;=ABS(AD63),"OK !","NO !")</f>
        <v>OK !</v>
      </c>
      <c r="AH63" s="364"/>
      <c r="AJ63" s="361">
        <f>ABS(Y63/AD63)</f>
        <v>0.06167392407395634</v>
      </c>
      <c r="AK63" s="361"/>
      <c r="AL63" s="43" t="str">
        <f>IF(AJ63&lt;&gt;AJ73,"*","M")</f>
        <v>*</v>
      </c>
      <c r="AM63" s="362">
        <f>IF(AJ63&lt;&gt;AJ73,"",E58)</f>
      </c>
      <c r="AN63" s="328"/>
      <c r="AO63" s="328"/>
      <c r="AP63" s="363"/>
      <c r="AQ63" s="362">
        <f>IF(AJ63&lt;&gt;AJ73,"",AI62)</f>
      </c>
      <c r="AR63" s="363"/>
      <c r="AS63" s="357">
        <f>IF(AJ63&lt;&gt;AJ73,"",Y63)</f>
      </c>
      <c r="AT63" s="358"/>
      <c r="AU63" s="357">
        <f>IF(AJ63&lt;&gt;AJ73,"",AD63)</f>
      </c>
      <c r="AV63" s="359"/>
      <c r="AW63" s="135">
        <f>IF(AJ63&lt;&gt;AJ73,"",AG63)</f>
      </c>
    </row>
    <row r="64" spans="1:49" ht="9.75" customHeight="1">
      <c r="A64" s="6"/>
      <c r="B64" s="6"/>
      <c r="C64" s="6"/>
      <c r="D64" s="6"/>
      <c r="E64" s="9" t="str">
        <f>E18</f>
        <v>Long Side Plate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  <c r="X64" s="3"/>
      <c r="AC64" s="3"/>
      <c r="AD64" s="3"/>
      <c r="AE64" s="3"/>
      <c r="AF64" s="3"/>
      <c r="AM64" s="133"/>
      <c r="AN64" s="1"/>
      <c r="AO64" s="1"/>
      <c r="AP64" s="134"/>
      <c r="AS64" s="133"/>
      <c r="AT64" s="134"/>
      <c r="AW64" s="133"/>
    </row>
    <row r="65" spans="1:49" ht="9.75" customHeight="1">
      <c r="A65" s="6"/>
      <c r="B65" s="6"/>
      <c r="C65" s="6"/>
      <c r="D65" s="6"/>
      <c r="E65" s="6"/>
      <c r="F65" s="9" t="s">
        <v>239</v>
      </c>
      <c r="G65" s="1"/>
      <c r="H65" s="1" t="s">
        <v>226</v>
      </c>
      <c r="I65" s="288" t="str">
        <f>F19</f>
        <v>SmL</v>
      </c>
      <c r="J65" s="288"/>
      <c r="K65" s="21"/>
      <c r="L65" s="288" t="str">
        <f>F46</f>
        <v>(Sb)M</v>
      </c>
      <c r="M65" s="288"/>
      <c r="N65" s="21" t="s">
        <v>226</v>
      </c>
      <c r="O65" s="273">
        <f>Y19</f>
        <v>-574.9999999999999</v>
      </c>
      <c r="P65" s="273"/>
      <c r="Q65" s="273"/>
      <c r="R65" s="21" t="s">
        <v>231</v>
      </c>
      <c r="S65" s="273">
        <f>AD46</f>
        <v>1578.2025183742749</v>
      </c>
      <c r="T65" s="273"/>
      <c r="U65" s="273"/>
      <c r="V65" s="42" t="s">
        <v>368</v>
      </c>
      <c r="X65" s="8" t="s">
        <v>226</v>
      </c>
      <c r="Y65" s="366">
        <f>O65+S65</f>
        <v>1003.202518374275</v>
      </c>
      <c r="Z65" s="366"/>
      <c r="AA65" s="366"/>
      <c r="AB65" s="2" t="str">
        <f>AG46</f>
        <v>psi</v>
      </c>
      <c r="AC65" s="26" t="str">
        <f>IF(ABS(Y65)&lt;=ABS(AD65),"&lt;","&gt;")</f>
        <v>&lt;</v>
      </c>
      <c r="AD65" s="365">
        <f>AD57*mas</f>
        <v>28200</v>
      </c>
      <c r="AE65" s="365"/>
      <c r="AF65" s="365"/>
      <c r="AG65" s="364" t="str">
        <f>IF(ABS(Y65)&lt;=ABS(AD65),"OK !","NO !")</f>
        <v>OK !</v>
      </c>
      <c r="AH65" s="364"/>
      <c r="AI65" s="8" t="s">
        <v>580</v>
      </c>
      <c r="AJ65" s="361">
        <f>ABS(Y65/AD65)</f>
        <v>0.035574557389158684</v>
      </c>
      <c r="AK65" s="361"/>
      <c r="AL65" s="43" t="str">
        <f>IF(AJ65&lt;&gt;AJ73,"*","M")</f>
        <v>*</v>
      </c>
      <c r="AM65" s="362">
        <f>IF(AJ65&lt;&gt;AJ73,"",E64)</f>
      </c>
      <c r="AN65" s="328"/>
      <c r="AO65" s="328"/>
      <c r="AP65" s="363"/>
      <c r="AQ65" s="362">
        <f>IF(AJ65&lt;&gt;AJ73,"",AI65)</f>
      </c>
      <c r="AR65" s="363"/>
      <c r="AS65" s="351">
        <f>IF(AJ65&lt;&gt;AJ73,"",Y65)</f>
      </c>
      <c r="AT65" s="352"/>
      <c r="AU65" s="353">
        <f>IF(AJ65&lt;&gt;AJ73,"",AD65)</f>
      </c>
      <c r="AV65" s="353"/>
      <c r="AW65" s="135">
        <f>IF(AJ65&lt;&gt;AJ73,"",AG65)</f>
      </c>
    </row>
    <row r="66" spans="1:49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1" t="s">
        <v>226</v>
      </c>
      <c r="O66" s="273">
        <f>O65</f>
        <v>-574.9999999999999</v>
      </c>
      <c r="P66" s="273"/>
      <c r="Q66" s="273"/>
      <c r="R66" s="21" t="s">
        <v>231</v>
      </c>
      <c r="S66" s="273">
        <f>AD47</f>
        <v>-1578.2025183742749</v>
      </c>
      <c r="T66" s="273"/>
      <c r="U66" s="273"/>
      <c r="V66" s="42" t="s">
        <v>367</v>
      </c>
      <c r="W66" s="3"/>
      <c r="X66" s="8" t="s">
        <v>226</v>
      </c>
      <c r="Y66" s="366">
        <f>O66+S66</f>
        <v>-2153.202518374275</v>
      </c>
      <c r="Z66" s="366"/>
      <c r="AA66" s="366"/>
      <c r="AB66" s="3" t="str">
        <f>AB65</f>
        <v>psi</v>
      </c>
      <c r="AC66" s="26" t="str">
        <f>IF(ABS(Y66)&lt;=ABS(AD66),"&lt;","&gt;")</f>
        <v>&lt;</v>
      </c>
      <c r="AD66" s="365">
        <f>AD65</f>
        <v>28200</v>
      </c>
      <c r="AE66" s="365"/>
      <c r="AF66" s="365"/>
      <c r="AG66" s="364" t="str">
        <f>IF(ABS(Y66)&lt;=ABS(AD66),"OK !","NO !")</f>
        <v>OK !</v>
      </c>
      <c r="AH66" s="364"/>
      <c r="AJ66" s="361">
        <f>ABS(Y66/AD66)</f>
        <v>0.07635469923313032</v>
      </c>
      <c r="AK66" s="361"/>
      <c r="AL66" s="43" t="str">
        <f>IF(AJ66&lt;&gt;AJ73,"*","M")</f>
        <v>*</v>
      </c>
      <c r="AM66" s="362">
        <f>IF(AJ66&lt;&gt;AJ73,"",E64)</f>
      </c>
      <c r="AN66" s="328"/>
      <c r="AO66" s="328"/>
      <c r="AP66" s="363"/>
      <c r="AQ66" s="362">
        <f>IF(AJ66&lt;&gt;AJ73,"",AI65)</f>
      </c>
      <c r="AR66" s="363"/>
      <c r="AS66" s="351">
        <f>IF(AJ66&lt;&gt;AJ73,"",Y66)</f>
      </c>
      <c r="AT66" s="352"/>
      <c r="AU66" s="353">
        <f>IF(AJ66&lt;&gt;AJ73,"",AD66)</f>
      </c>
      <c r="AV66" s="353"/>
      <c r="AW66" s="135">
        <f>IF(AJ66&lt;&gt;AJ73,"",AG66)</f>
      </c>
    </row>
    <row r="67" spans="1:49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3"/>
      <c r="W67" s="3"/>
      <c r="X67" s="3"/>
      <c r="Y67" s="3"/>
      <c r="Z67" s="3"/>
      <c r="AA67" s="3"/>
      <c r="AB67" s="3"/>
      <c r="AC67" s="3"/>
      <c r="AL67" s="43"/>
      <c r="AM67" s="131"/>
      <c r="AN67" s="43"/>
      <c r="AO67" s="43"/>
      <c r="AP67" s="132"/>
      <c r="AQ67" s="43"/>
      <c r="AR67" s="43"/>
      <c r="AS67" s="131"/>
      <c r="AT67" s="132"/>
      <c r="AU67" s="43"/>
      <c r="AV67" s="43"/>
      <c r="AW67" s="131"/>
    </row>
    <row r="68" spans="1:49" ht="9.75" customHeight="1">
      <c r="A68" s="1"/>
      <c r="B68" s="1"/>
      <c r="C68" s="1"/>
      <c r="D68" s="1"/>
      <c r="E68" s="1"/>
      <c r="F68" s="9" t="s">
        <v>238</v>
      </c>
      <c r="G68" s="1"/>
      <c r="H68" s="1" t="s">
        <v>226</v>
      </c>
      <c r="I68" s="288" t="str">
        <f>F19</f>
        <v>SmL</v>
      </c>
      <c r="J68" s="288"/>
      <c r="K68" s="21"/>
      <c r="L68" s="288" t="str">
        <f>F51</f>
        <v>(Sb)QL</v>
      </c>
      <c r="M68" s="288"/>
      <c r="N68" s="21" t="s">
        <v>226</v>
      </c>
      <c r="O68" s="273">
        <f>O65</f>
        <v>-574.9999999999999</v>
      </c>
      <c r="P68" s="273"/>
      <c r="Q68" s="273"/>
      <c r="R68" s="21" t="s">
        <v>231</v>
      </c>
      <c r="S68" s="273">
        <f>AD53</f>
        <v>334.97577821050874</v>
      </c>
      <c r="T68" s="273"/>
      <c r="U68" s="273"/>
      <c r="V68" s="42" t="s">
        <v>368</v>
      </c>
      <c r="X68" s="8" t="s">
        <v>226</v>
      </c>
      <c r="Y68" s="366">
        <f>O68+S68</f>
        <v>-240.02422178949115</v>
      </c>
      <c r="Z68" s="366"/>
      <c r="AA68" s="366"/>
      <c r="AB68" s="2" t="str">
        <f>AB65</f>
        <v>psi</v>
      </c>
      <c r="AC68" s="26" t="str">
        <f>IF(ABS(Y68)&lt;=ABS(AD68),"&lt;","&gt;")</f>
        <v>&lt;</v>
      </c>
      <c r="AD68" s="365">
        <f>AD57*mas</f>
        <v>28200</v>
      </c>
      <c r="AE68" s="365"/>
      <c r="AF68" s="365"/>
      <c r="AG68" s="364" t="str">
        <f>IF(ABS(Y68)&lt;=ABS(AD68),"OK !","NO !")</f>
        <v>OK !</v>
      </c>
      <c r="AH68" s="364"/>
      <c r="AI68" s="8" t="s">
        <v>30</v>
      </c>
      <c r="AJ68" s="361">
        <f>ABS(Y68/AD68)</f>
        <v>0.0085114972265777</v>
      </c>
      <c r="AK68" s="361"/>
      <c r="AL68" s="43" t="str">
        <f>IF(AJ68&lt;&gt;AJ73,"*","M")</f>
        <v>*</v>
      </c>
      <c r="AM68" s="362">
        <f>IF(AJ68&lt;&gt;AJ73,"",E64)</f>
      </c>
      <c r="AN68" s="328"/>
      <c r="AO68" s="328"/>
      <c r="AP68" s="363"/>
      <c r="AQ68" s="362">
        <f>IF(AJ68&lt;&gt;AJ73,"",AI68)</f>
      </c>
      <c r="AR68" s="363"/>
      <c r="AS68" s="351">
        <f>IF(AJ68&lt;&gt;AJ73,"",Y68)</f>
      </c>
      <c r="AT68" s="352"/>
      <c r="AU68" s="353">
        <f>IF(AJ68&lt;&gt;AJ73,"",AD68)</f>
      </c>
      <c r="AV68" s="353"/>
      <c r="AW68" s="135">
        <f>IF(AJ68&lt;&gt;AJ73,"",AG68)</f>
      </c>
    </row>
    <row r="69" spans="1:4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1" t="s">
        <v>226</v>
      </c>
      <c r="O69" s="273">
        <f>O68</f>
        <v>-574.9999999999999</v>
      </c>
      <c r="P69" s="273"/>
      <c r="Q69" s="273"/>
      <c r="R69" s="21" t="s">
        <v>231</v>
      </c>
      <c r="S69" s="273">
        <f>AD54</f>
        <v>-312.99917891868046</v>
      </c>
      <c r="T69" s="273"/>
      <c r="U69" s="273"/>
      <c r="V69" s="42" t="s">
        <v>367</v>
      </c>
      <c r="X69" s="8" t="s">
        <v>226</v>
      </c>
      <c r="Y69" s="366">
        <f>O69+S69</f>
        <v>-887.9991789186804</v>
      </c>
      <c r="Z69" s="366"/>
      <c r="AA69" s="366"/>
      <c r="AB69" s="2" t="str">
        <f>AB68</f>
        <v>psi</v>
      </c>
      <c r="AC69" s="26" t="str">
        <f>IF(ABS(Y69)&lt;=ABS(AD69),"&lt;","&gt;")</f>
        <v>&lt;</v>
      </c>
      <c r="AD69" s="365">
        <f>AD68</f>
        <v>28200</v>
      </c>
      <c r="AE69" s="365"/>
      <c r="AF69" s="365"/>
      <c r="AG69" s="364" t="str">
        <f>IF(ABS(Y69)&lt;=ABS(AD69),"OK !","NO !")</f>
        <v>OK !</v>
      </c>
      <c r="AH69" s="364"/>
      <c r="AI69" s="8"/>
      <c r="AJ69" s="361">
        <f>ABS(Y69/AD69)</f>
        <v>0.03148933258576881</v>
      </c>
      <c r="AK69" s="361"/>
      <c r="AL69" s="47" t="str">
        <f>IF(AJ69&lt;&gt;AJ73,"*","M")</f>
        <v>*</v>
      </c>
      <c r="AM69" s="379">
        <f>IF(AJ69&lt;&gt;AJ73,"",E64)</f>
      </c>
      <c r="AN69" s="197"/>
      <c r="AO69" s="197"/>
      <c r="AP69" s="380"/>
      <c r="AQ69" s="379">
        <f>IF(AJ69&lt;&gt;AJ73,"",AI68)</f>
      </c>
      <c r="AR69" s="380"/>
      <c r="AS69" s="502">
        <f>IF(AJ69&lt;&gt;AJ73,"",Y69)</f>
      </c>
      <c r="AT69" s="503"/>
      <c r="AU69" s="504">
        <f>IF(AJ69&lt;&gt;AJ73,"",AD69)</f>
      </c>
      <c r="AV69" s="504"/>
      <c r="AW69" s="142">
        <f>IF(AJ69&lt;&gt;AJ73,"",AG69)</f>
      </c>
    </row>
    <row r="70" spans="1:49" ht="9.75" customHeight="1">
      <c r="A70" s="1"/>
      <c r="B70" s="1"/>
      <c r="C70" s="1"/>
      <c r="D70" s="1"/>
      <c r="E70" s="9" t="str">
        <f>E21</f>
        <v>Stay Plate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C70" s="3"/>
      <c r="AD70" s="360" t="s">
        <v>137</v>
      </c>
      <c r="AE70" s="360"/>
      <c r="AF70" s="360"/>
      <c r="AJ70" s="239"/>
      <c r="AK70" s="229"/>
      <c r="AL70" s="49"/>
      <c r="AM70" s="229" t="b">
        <f>IF(AL59="M",AM59,IF(AL60="M",AM60,IF(AL62="M",AM62,IF(AL63="M",AM63,IF(AL65="M",AM65,IF(AL66="M",AM66,IF(AL68="M",AM68,IF(AL69="M",AM69))))))))</f>
        <v>0</v>
      </c>
      <c r="AN70" s="229"/>
      <c r="AO70" s="229"/>
      <c r="AP70" s="229"/>
      <c r="AQ70" s="229" t="b">
        <f>IF(AL59="M",AQ59,IF(AL60="M",AQ60,IF(AL62="M",AQ62,IF(AL63="M",AQ63,IF(AL65="M",AQ65,IF(AL66="M",AQ66,IF(AL68="M",AQ68,IF(AL69="M",AQ69))))))))</f>
        <v>0</v>
      </c>
      <c r="AR70" s="229"/>
      <c r="AS70" s="422" t="b">
        <f>IF(AL59="M",AS59,IF(AL60="M",AS60,IF(AL62="M",AS62,IF(AL63="M",AS63,IF(AL65="M",AS65,IF(AL66="M",AS66,IF(AL68="M",AS68,IF(AL69="M",AS69))))))))</f>
        <v>0</v>
      </c>
      <c r="AT70" s="422"/>
      <c r="AU70" s="422" t="b">
        <f>IF(AL59="M",AU59,IF(AL60="M",AU60,IF(AL62="M",AU62,IF(AL63="M",AU63,IF(AL65="M",AU65,IF(AL66="M",AU66,IF(AL68="M",AU68,IF(AL69="M",AU69))))))))</f>
        <v>0</v>
      </c>
      <c r="AV70" s="422"/>
      <c r="AW70" s="49" t="b">
        <f>IF(AL59="M",AW59,IF(AL60="M",AW60,IF(AL62="M",AW62,IF(AL63="M",AW63,IF(AL65="M",AW65,IF(AL66="M",AW66,IF(AL68="M",AW68,IF(AL69="M",AW69))))))))</f>
        <v>0</v>
      </c>
    </row>
    <row r="71" spans="1:49" ht="9.75" customHeight="1">
      <c r="A71" s="6"/>
      <c r="B71" s="6"/>
      <c r="C71" s="6"/>
      <c r="D71" s="6"/>
      <c r="E71" s="6"/>
      <c r="F71" s="7" t="s">
        <v>511</v>
      </c>
      <c r="G71" s="6"/>
      <c r="H71" s="6" t="s">
        <v>226</v>
      </c>
      <c r="I71" s="288" t="str">
        <f>F27</f>
        <v>SmSP</v>
      </c>
      <c r="J71" s="288"/>
      <c r="K71" s="6"/>
      <c r="L71" s="6"/>
      <c r="M71" s="6"/>
      <c r="N71" s="21"/>
      <c r="O71" s="273"/>
      <c r="P71" s="275"/>
      <c r="Q71" s="275"/>
      <c r="R71" s="6"/>
      <c r="S71" s="6"/>
      <c r="T71" s="6"/>
      <c r="U71" s="6"/>
      <c r="W71" s="3"/>
      <c r="X71" s="8" t="s">
        <v>226</v>
      </c>
      <c r="Y71" s="366">
        <f>X27</f>
        <v>-7141.952064475512</v>
      </c>
      <c r="Z71" s="366"/>
      <c r="AA71" s="366"/>
      <c r="AB71" s="2" t="str">
        <f>AA27</f>
        <v>psi</v>
      </c>
      <c r="AC71" s="26" t="str">
        <f>IF(ABS(Y71)&lt;=ABS(AD71),"&lt;","&gt;")</f>
        <v>&lt;</v>
      </c>
      <c r="AD71" s="273">
        <f>AD27</f>
        <v>16600</v>
      </c>
      <c r="AE71" s="273"/>
      <c r="AF71" s="273"/>
      <c r="AG71" s="364" t="str">
        <f>IF(ABS(Y71)&lt;=ABS(AD71),"OK !","NO !")</f>
        <v>OK !</v>
      </c>
      <c r="AH71" s="364"/>
      <c r="AI71" s="8" t="s">
        <v>180</v>
      </c>
      <c r="AJ71" s="361">
        <f>ABS(Y71/AD71)</f>
        <v>0.4302380761732236</v>
      </c>
      <c r="AK71" s="361"/>
      <c r="AL71" s="63" t="str">
        <f>IF(AJ71&lt;&gt;AJ73,"*","M")</f>
        <v>M</v>
      </c>
      <c r="AM71" s="379" t="str">
        <f>IF(AJ71&lt;&gt;AJ73,"",E70)</f>
        <v>Stay Plate</v>
      </c>
      <c r="AN71" s="197"/>
      <c r="AO71" s="197"/>
      <c r="AP71" s="380"/>
      <c r="AQ71" s="379" t="str">
        <f>IF(AJ71&lt;&gt;AJ73,"",AI71)</f>
        <v>*</v>
      </c>
      <c r="AR71" s="380"/>
      <c r="AS71" s="505">
        <f>IF(AJ71&lt;&gt;AJ73,"",Y71)</f>
        <v>-7141.952064475512</v>
      </c>
      <c r="AT71" s="506"/>
      <c r="AU71" s="507">
        <f>IF(AJ71&lt;&gt;AJ73,"",AD71)</f>
        <v>16600</v>
      </c>
      <c r="AV71" s="507"/>
      <c r="AW71" s="143" t="str">
        <f>IF(AJ71&lt;&gt;AJ73,"",AG71)</f>
        <v>OK !</v>
      </c>
    </row>
    <row r="72" spans="1:4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  <c r="AJ72" s="227" t="s">
        <v>568</v>
      </c>
      <c r="AK72" s="227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AC73" s="3"/>
      <c r="AJ73" s="274">
        <f>MAX(AJ59,AJ60,AJ62,AJ63,AJ65,AJ66,AJ68,AJ69,AJ71)</f>
        <v>0.4302380761732236</v>
      </c>
      <c r="AK73" s="275"/>
      <c r="AM73" s="304" t="str">
        <f>IF(AM71&lt;&gt;"",AM71,AM70)</f>
        <v>Stay Plate</v>
      </c>
      <c r="AN73" s="304"/>
      <c r="AO73" s="304"/>
      <c r="AP73" s="304"/>
      <c r="AQ73" s="304" t="str">
        <f>IF(AQ71&lt;&gt;"",AQ71,AQ70)</f>
        <v>*</v>
      </c>
      <c r="AR73" s="304"/>
      <c r="AS73" s="350">
        <f>IF(AS71&lt;&gt;"",AS71,AS70)</f>
        <v>-7141.952064475512</v>
      </c>
      <c r="AT73" s="350"/>
      <c r="AU73" s="350">
        <f>IF(AU71&lt;&gt;"",AU71,AU70)</f>
        <v>16600</v>
      </c>
      <c r="AV73" s="350"/>
      <c r="AW73" s="2" t="str">
        <f>IF(AW71&lt;&gt;"",AW71,AW70)</f>
        <v>OK !</v>
      </c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271">
    <mergeCell ref="AC9:AG9"/>
    <mergeCell ref="AS73:AT73"/>
    <mergeCell ref="AU73:AV73"/>
    <mergeCell ref="AJ72:AK72"/>
    <mergeCell ref="AJ73:AK73"/>
    <mergeCell ref="AM73:AP73"/>
    <mergeCell ref="AQ73:AR73"/>
    <mergeCell ref="AU70:AV70"/>
    <mergeCell ref="AJ71:AK71"/>
    <mergeCell ref="AM71:AP71"/>
    <mergeCell ref="AQ71:AR71"/>
    <mergeCell ref="AS71:AT71"/>
    <mergeCell ref="AU71:AV71"/>
    <mergeCell ref="AJ70:AK70"/>
    <mergeCell ref="AM70:AP70"/>
    <mergeCell ref="AQ70:AR70"/>
    <mergeCell ref="AS70:AT70"/>
    <mergeCell ref="AU68:AV68"/>
    <mergeCell ref="AJ69:AK69"/>
    <mergeCell ref="AM69:AP69"/>
    <mergeCell ref="AQ69:AR69"/>
    <mergeCell ref="AS69:AT69"/>
    <mergeCell ref="AU69:AV69"/>
    <mergeCell ref="AJ68:AK68"/>
    <mergeCell ref="AM68:AP68"/>
    <mergeCell ref="AQ68:AR68"/>
    <mergeCell ref="AS68:AT68"/>
    <mergeCell ref="AU65:AV65"/>
    <mergeCell ref="AJ66:AK66"/>
    <mergeCell ref="AM66:AP66"/>
    <mergeCell ref="AQ66:AR66"/>
    <mergeCell ref="AS66:AT66"/>
    <mergeCell ref="AU66:AV66"/>
    <mergeCell ref="AJ65:AK65"/>
    <mergeCell ref="AM65:AP65"/>
    <mergeCell ref="AQ65:AR65"/>
    <mergeCell ref="AS65:AT65"/>
    <mergeCell ref="AU62:AV62"/>
    <mergeCell ref="AJ63:AK63"/>
    <mergeCell ref="AM63:AP63"/>
    <mergeCell ref="AQ63:AR63"/>
    <mergeCell ref="AS63:AT63"/>
    <mergeCell ref="AU63:AV63"/>
    <mergeCell ref="AJ62:AK62"/>
    <mergeCell ref="AM62:AP62"/>
    <mergeCell ref="AQ62:AR62"/>
    <mergeCell ref="AS62:AT62"/>
    <mergeCell ref="AQ59:AR59"/>
    <mergeCell ref="AS59:AT59"/>
    <mergeCell ref="AU59:AV59"/>
    <mergeCell ref="AJ60:AK60"/>
    <mergeCell ref="AM60:AP60"/>
    <mergeCell ref="AQ60:AR60"/>
    <mergeCell ref="AS60:AT60"/>
    <mergeCell ref="AU60:AV60"/>
    <mergeCell ref="AJ57:AK57"/>
    <mergeCell ref="AJ58:AK58"/>
    <mergeCell ref="AJ59:AK59"/>
    <mergeCell ref="AM59:AP59"/>
    <mergeCell ref="T35:U35"/>
    <mergeCell ref="T36:U36"/>
    <mergeCell ref="AG37:AH37"/>
    <mergeCell ref="AG38:AH38"/>
    <mergeCell ref="AD35:AF35"/>
    <mergeCell ref="AD36:AF36"/>
    <mergeCell ref="AD37:AE37"/>
    <mergeCell ref="AF37:AF38"/>
    <mergeCell ref="AB48:AC48"/>
    <mergeCell ref="AB49:AC49"/>
    <mergeCell ref="V19:W19"/>
    <mergeCell ref="Q46:R46"/>
    <mergeCell ref="Q47:R47"/>
    <mergeCell ref="Z26:AA26"/>
    <mergeCell ref="AA37:AB37"/>
    <mergeCell ref="W27:W28"/>
    <mergeCell ref="X27:Z28"/>
    <mergeCell ref="AA27:AB28"/>
    <mergeCell ref="AE26:AF26"/>
    <mergeCell ref="K25:L25"/>
    <mergeCell ref="N25:O25"/>
    <mergeCell ref="Q25:R25"/>
    <mergeCell ref="X25:Y25"/>
    <mergeCell ref="W26:X26"/>
    <mergeCell ref="N23:O23"/>
    <mergeCell ref="Q23:R23"/>
    <mergeCell ref="T23:U23"/>
    <mergeCell ref="N26:O26"/>
    <mergeCell ref="Q26:R26"/>
    <mergeCell ref="T26:U26"/>
    <mergeCell ref="O69:Q69"/>
    <mergeCell ref="S69:U69"/>
    <mergeCell ref="O63:Q63"/>
    <mergeCell ref="S63:U63"/>
    <mergeCell ref="O66:Q66"/>
    <mergeCell ref="S66:U66"/>
    <mergeCell ref="O68:Q68"/>
    <mergeCell ref="S68:U68"/>
    <mergeCell ref="O65:Q65"/>
    <mergeCell ref="S65:U65"/>
    <mergeCell ref="AD53:AF53"/>
    <mergeCell ref="AD54:AF54"/>
    <mergeCell ref="O60:Q60"/>
    <mergeCell ref="S60:U60"/>
    <mergeCell ref="Y53:Y54"/>
    <mergeCell ref="AD59:AF59"/>
    <mergeCell ref="AD60:AF60"/>
    <mergeCell ref="Y60:AA60"/>
    <mergeCell ref="AD42:AF42"/>
    <mergeCell ref="AD43:AF43"/>
    <mergeCell ref="T49:U49"/>
    <mergeCell ref="AD46:AF46"/>
    <mergeCell ref="AD47:AF47"/>
    <mergeCell ref="AA48:AA49"/>
    <mergeCell ref="Y42:Y43"/>
    <mergeCell ref="W43:X43"/>
    <mergeCell ref="T42:U42"/>
    <mergeCell ref="W42:X42"/>
    <mergeCell ref="P46:P47"/>
    <mergeCell ref="Q48:Q49"/>
    <mergeCell ref="T48:U48"/>
    <mergeCell ref="X48:Y48"/>
    <mergeCell ref="O48:P48"/>
    <mergeCell ref="I53:J53"/>
    <mergeCell ref="L53:M53"/>
    <mergeCell ref="O53:P53"/>
    <mergeCell ref="Q53:Q54"/>
    <mergeCell ref="I49:J49"/>
    <mergeCell ref="L49:M49"/>
    <mergeCell ref="I51:J51"/>
    <mergeCell ref="K51:K52"/>
    <mergeCell ref="L51:N51"/>
    <mergeCell ref="I52:J52"/>
    <mergeCell ref="L52:N52"/>
    <mergeCell ref="I46:J46"/>
    <mergeCell ref="I47:J47"/>
    <mergeCell ref="I48:J48"/>
    <mergeCell ref="L48:M48"/>
    <mergeCell ref="K46:K47"/>
    <mergeCell ref="L46:O46"/>
    <mergeCell ref="L47:O47"/>
    <mergeCell ref="L42:M42"/>
    <mergeCell ref="O42:P42"/>
    <mergeCell ref="Q42:Q43"/>
    <mergeCell ref="I43:J43"/>
    <mergeCell ref="L43:M43"/>
    <mergeCell ref="L38:M38"/>
    <mergeCell ref="AD38:AE38"/>
    <mergeCell ref="T37:U38"/>
    <mergeCell ref="S37:S38"/>
    <mergeCell ref="V37:W38"/>
    <mergeCell ref="X37:X38"/>
    <mergeCell ref="Q37:R38"/>
    <mergeCell ref="AD70:AF70"/>
    <mergeCell ref="AD57:AE57"/>
    <mergeCell ref="I35:J35"/>
    <mergeCell ref="K35:K36"/>
    <mergeCell ref="L35:O36"/>
    <mergeCell ref="P35:R35"/>
    <mergeCell ref="S35:S36"/>
    <mergeCell ref="I59:J59"/>
    <mergeCell ref="I65:J65"/>
    <mergeCell ref="L65:M65"/>
    <mergeCell ref="I71:J71"/>
    <mergeCell ref="Y71:AA71"/>
    <mergeCell ref="AD71:AF71"/>
    <mergeCell ref="AG71:AH71"/>
    <mergeCell ref="O71:Q71"/>
    <mergeCell ref="I68:J68"/>
    <mergeCell ref="L68:M68"/>
    <mergeCell ref="L59:M59"/>
    <mergeCell ref="I62:J62"/>
    <mergeCell ref="L62:M62"/>
    <mergeCell ref="AG59:AH59"/>
    <mergeCell ref="O62:Q62"/>
    <mergeCell ref="S62:U62"/>
    <mergeCell ref="Y62:AA62"/>
    <mergeCell ref="AD62:AF62"/>
    <mergeCell ref="AG62:AH62"/>
    <mergeCell ref="O59:Q59"/>
    <mergeCell ref="S59:U59"/>
    <mergeCell ref="Y59:AA59"/>
    <mergeCell ref="AG60:AH60"/>
    <mergeCell ref="F51:G52"/>
    <mergeCell ref="H51:H52"/>
    <mergeCell ref="H53:H54"/>
    <mergeCell ref="Y63:AA63"/>
    <mergeCell ref="O51:O52"/>
    <mergeCell ref="I54:J54"/>
    <mergeCell ref="L54:M54"/>
    <mergeCell ref="T53:U53"/>
    <mergeCell ref="W53:X53"/>
    <mergeCell ref="W54:X54"/>
    <mergeCell ref="F46:G47"/>
    <mergeCell ref="H46:H47"/>
    <mergeCell ref="F40:G41"/>
    <mergeCell ref="H40:H41"/>
    <mergeCell ref="H37:H38"/>
    <mergeCell ref="I36:J36"/>
    <mergeCell ref="H42:H43"/>
    <mergeCell ref="I40:J40"/>
    <mergeCell ref="I38:J38"/>
    <mergeCell ref="I42:J42"/>
    <mergeCell ref="K40:K41"/>
    <mergeCell ref="L40:N40"/>
    <mergeCell ref="O40:O41"/>
    <mergeCell ref="I41:J41"/>
    <mergeCell ref="L41:N41"/>
    <mergeCell ref="AD27:AF28"/>
    <mergeCell ref="AG27:AH28"/>
    <mergeCell ref="H48:H49"/>
    <mergeCell ref="F35:G36"/>
    <mergeCell ref="H35:H36"/>
    <mergeCell ref="P36:R36"/>
    <mergeCell ref="I37:J37"/>
    <mergeCell ref="L37:M37"/>
    <mergeCell ref="N37:N38"/>
    <mergeCell ref="O37:P38"/>
    <mergeCell ref="AC27:AC28"/>
    <mergeCell ref="F27:G28"/>
    <mergeCell ref="I28:J28"/>
    <mergeCell ref="K27:K28"/>
    <mergeCell ref="L27:O27"/>
    <mergeCell ref="L28:O28"/>
    <mergeCell ref="H29:H30"/>
    <mergeCell ref="AD14:AF14"/>
    <mergeCell ref="I27:J27"/>
    <mergeCell ref="H27:H28"/>
    <mergeCell ref="P27:P28"/>
    <mergeCell ref="AD19:AF19"/>
    <mergeCell ref="Y16:AA16"/>
    <mergeCell ref="AD16:AF16"/>
    <mergeCell ref="W23:X23"/>
    <mergeCell ref="AE23:AF23"/>
    <mergeCell ref="AC29:AC30"/>
    <mergeCell ref="M29:N29"/>
    <mergeCell ref="J30:K30"/>
    <mergeCell ref="M30:N30"/>
    <mergeCell ref="R29:R30"/>
    <mergeCell ref="J29:K29"/>
    <mergeCell ref="U29:V29"/>
    <mergeCell ref="Z29:AA29"/>
    <mergeCell ref="U30:V30"/>
    <mergeCell ref="P29:Q29"/>
    <mergeCell ref="AC8:AG8"/>
    <mergeCell ref="M19:N19"/>
    <mergeCell ref="P19:Q19"/>
    <mergeCell ref="S19:T19"/>
    <mergeCell ref="Y19:AA19"/>
    <mergeCell ref="M16:N16"/>
    <mergeCell ref="P16:Q16"/>
    <mergeCell ref="S16:T16"/>
    <mergeCell ref="AG19:AH19"/>
    <mergeCell ref="V16:W16"/>
    <mergeCell ref="A1:AH3"/>
    <mergeCell ref="AC6:AG6"/>
    <mergeCell ref="AC7:AD7"/>
    <mergeCell ref="AF7:AG7"/>
    <mergeCell ref="AG63:AH63"/>
    <mergeCell ref="AG66:AH66"/>
    <mergeCell ref="AG69:AH69"/>
    <mergeCell ref="AG68:AH68"/>
    <mergeCell ref="AG65:AH65"/>
    <mergeCell ref="Y66:AA66"/>
    <mergeCell ref="Y69:AA69"/>
    <mergeCell ref="AD63:AF63"/>
    <mergeCell ref="AD66:AF66"/>
    <mergeCell ref="AD69:AF69"/>
    <mergeCell ref="Y68:AA68"/>
    <mergeCell ref="AD68:AF68"/>
    <mergeCell ref="Y65:AA65"/>
    <mergeCell ref="AD65:AF65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H75"/>
  <sheetViews>
    <sheetView view="pageBreakPreview"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11</v>
      </c>
      <c r="C6" s="6"/>
      <c r="D6" s="6"/>
      <c r="E6" s="7" t="str">
        <f>project</f>
        <v>Programming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12</v>
      </c>
      <c r="AA6" s="3"/>
      <c r="AB6" s="3"/>
      <c r="AC6" s="304" t="str">
        <f>docno</f>
        <v>SC - RPV - 100</v>
      </c>
      <c r="AD6" s="304"/>
      <c r="AE6" s="304"/>
      <c r="AF6" s="304"/>
      <c r="AG6" s="304"/>
      <c r="AH6" s="4"/>
    </row>
    <row r="7" spans="1:34" ht="9.75" customHeight="1">
      <c r="A7" s="6"/>
      <c r="B7" s="6" t="s">
        <v>13</v>
      </c>
      <c r="C7" s="6"/>
      <c r="D7" s="6"/>
      <c r="E7" s="7" t="str">
        <f>itemno</f>
        <v>13-17 Example, P430~1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14</v>
      </c>
      <c r="AA7" s="3"/>
      <c r="AB7" s="3"/>
      <c r="AC7" s="311">
        <v>0</v>
      </c>
      <c r="AD7" s="311"/>
      <c r="AE7" s="8" t="s">
        <v>15</v>
      </c>
      <c r="AF7" s="304" t="str">
        <f>sheetqty</f>
        <v>x</v>
      </c>
      <c r="AG7" s="304"/>
      <c r="AH7" s="4"/>
    </row>
    <row r="8" spans="1:34" ht="9.75" customHeight="1">
      <c r="A8" s="6"/>
      <c r="B8" s="6" t="s">
        <v>16</v>
      </c>
      <c r="C8" s="6"/>
      <c r="D8" s="6"/>
      <c r="E8" s="7" t="str">
        <f>service</f>
        <v>Rectangular Vessel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22</v>
      </c>
      <c r="AA8" s="3"/>
      <c r="AB8" s="3"/>
      <c r="AC8" s="311" t="s">
        <v>23</v>
      </c>
      <c r="AD8" s="311"/>
      <c r="AE8" s="311"/>
      <c r="AF8" s="311"/>
      <c r="AG8" s="311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17</v>
      </c>
      <c r="AA9" s="3"/>
      <c r="AB9" s="3"/>
      <c r="AC9" s="8">
        <v>0</v>
      </c>
      <c r="AD9" s="16"/>
      <c r="AE9" s="16"/>
      <c r="AF9" s="16"/>
      <c r="AG9" s="16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18</v>
      </c>
      <c r="D11" s="9" t="s">
        <v>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</row>
    <row r="15" spans="1:29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AC16" s="3"/>
    </row>
    <row r="17" spans="1:29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AC17" s="3"/>
    </row>
    <row r="18" spans="1:29" ht="9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3"/>
      <c r="W18" s="3"/>
      <c r="X18" s="3"/>
      <c r="Y18" s="3"/>
      <c r="Z18" s="3"/>
      <c r="AA18" s="3"/>
      <c r="AB18" s="3"/>
      <c r="AC18" s="3"/>
    </row>
    <row r="19" spans="1:29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AC19" s="3"/>
    </row>
    <row r="20" spans="1:28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</row>
    <row r="21" spans="1:28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3"/>
      <c r="W21" s="3"/>
      <c r="X21" s="3"/>
      <c r="Y21" s="3"/>
      <c r="Z21" s="3"/>
      <c r="AA21" s="3"/>
      <c r="AB21" s="3"/>
    </row>
    <row r="22" spans="1:29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AC22" s="3"/>
    </row>
    <row r="23" spans="1:29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3"/>
      <c r="W23" s="3"/>
      <c r="X23" s="3"/>
      <c r="Y23" s="3"/>
      <c r="Z23" s="3"/>
      <c r="AA23" s="3"/>
      <c r="AB23" s="3"/>
      <c r="AC23" s="3"/>
    </row>
    <row r="24" spans="1:29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29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AC25" s="3"/>
    </row>
    <row r="26" spans="1:29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3"/>
      <c r="W26" s="3"/>
      <c r="X26" s="3"/>
      <c r="Y26" s="3"/>
      <c r="Z26" s="3"/>
      <c r="AA26" s="3"/>
      <c r="AB26" s="3"/>
      <c r="AC26" s="3"/>
    </row>
    <row r="27" spans="1:29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AC27" s="3"/>
    </row>
    <row r="28" spans="1:29" ht="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C28" s="3"/>
    </row>
    <row r="29" spans="1:29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AC29" s="3"/>
    </row>
    <row r="30" spans="1:29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</row>
    <row r="31" spans="1:29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8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</row>
    <row r="33" spans="1:28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3"/>
      <c r="W33" s="3"/>
      <c r="X33" s="3"/>
      <c r="Y33" s="3"/>
      <c r="Z33" s="3"/>
      <c r="AA33" s="3"/>
      <c r="AB33" s="3"/>
    </row>
    <row r="34" spans="1:29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C34" s="3"/>
    </row>
    <row r="35" spans="1:29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3"/>
      <c r="W35" s="3"/>
      <c r="X35" s="3"/>
      <c r="Y35" s="3"/>
      <c r="Z35" s="3"/>
      <c r="AA35" s="3"/>
      <c r="AB35" s="3"/>
      <c r="AC35" s="3"/>
    </row>
    <row r="36" spans="1:29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"/>
      <c r="W36" s="3"/>
      <c r="X36" s="3"/>
      <c r="Y36" s="3"/>
      <c r="Z36" s="3"/>
      <c r="AA36" s="3"/>
      <c r="AB36" s="3"/>
      <c r="AC36" s="3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  <c r="AC38" s="3"/>
    </row>
    <row r="39" spans="1:29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AC39" s="3"/>
    </row>
    <row r="40" spans="1:29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C40" s="3"/>
    </row>
    <row r="41" spans="1:29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AC41" s="3"/>
    </row>
    <row r="42" spans="1:29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3"/>
      <c r="X42" s="3"/>
      <c r="Y42" s="3"/>
      <c r="Z42" s="3"/>
      <c r="AA42" s="3"/>
      <c r="AB42" s="3"/>
      <c r="AC42" s="3"/>
    </row>
    <row r="43" spans="1:29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AC43" s="3"/>
    </row>
    <row r="44" spans="1:28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3"/>
      <c r="W44" s="3"/>
      <c r="X44" s="3"/>
      <c r="Y44" s="3"/>
      <c r="Z44" s="3"/>
      <c r="AA44" s="3"/>
      <c r="AB44" s="3"/>
    </row>
    <row r="45" spans="1:28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</row>
    <row r="46" spans="1:29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AC46" s="3"/>
    </row>
    <row r="47" spans="1:29" ht="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3"/>
      <c r="W47" s="3"/>
      <c r="X47" s="3"/>
      <c r="Y47" s="3"/>
      <c r="Z47" s="3"/>
      <c r="AA47" s="3"/>
      <c r="AB47" s="3"/>
      <c r="AC47" s="3"/>
    </row>
    <row r="48" spans="1:29" ht="9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3"/>
      <c r="W48" s="3"/>
      <c r="X48" s="3"/>
      <c r="Y48" s="3"/>
      <c r="Z48" s="3"/>
      <c r="AA48" s="3"/>
      <c r="AB48" s="3"/>
      <c r="AC48" s="3"/>
    </row>
    <row r="49" spans="1:29" ht="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29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AC52" s="3"/>
    </row>
    <row r="53" spans="1:29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C53" s="3"/>
    </row>
    <row r="54" spans="1:29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</row>
    <row r="55" spans="1:29" ht="9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C55" s="3"/>
    </row>
    <row r="56" spans="1:28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3"/>
      <c r="W56" s="3"/>
      <c r="X56" s="3"/>
      <c r="Y56" s="3"/>
      <c r="Z56" s="3"/>
      <c r="AA56" s="3"/>
      <c r="AB56" s="3"/>
    </row>
    <row r="57" spans="1:28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</row>
    <row r="58" spans="1:29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AC58" s="3"/>
    </row>
    <row r="59" spans="1:28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</row>
    <row r="60" spans="1:28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3"/>
      <c r="Y60" s="3"/>
      <c r="Z60" s="3"/>
      <c r="AA60" s="3"/>
      <c r="AB60" s="3"/>
    </row>
    <row r="61" spans="1:29" ht="9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2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Y62" s="3"/>
      <c r="Z62" s="3"/>
      <c r="AA62" s="3"/>
      <c r="AB62" s="3"/>
      <c r="AC62" s="3"/>
    </row>
    <row r="63" spans="1:2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3"/>
      <c r="W63" s="3"/>
      <c r="X63" s="3"/>
      <c r="Y63" s="3"/>
      <c r="Z63" s="3"/>
      <c r="AA63" s="3"/>
      <c r="AB63" s="3"/>
      <c r="AC63" s="3"/>
    </row>
    <row r="64" spans="1:29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AC64" s="3"/>
    </row>
    <row r="65" spans="1:29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3"/>
      <c r="W65" s="3"/>
      <c r="X65" s="3"/>
      <c r="Y65" s="3"/>
      <c r="Z65" s="3"/>
      <c r="AA65" s="3"/>
      <c r="AB65" s="3"/>
      <c r="AC65" s="3"/>
    </row>
    <row r="66" spans="1:29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C66" s="3"/>
    </row>
    <row r="67" spans="1:29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AC67" s="3"/>
    </row>
    <row r="68" spans="1:29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</row>
    <row r="69" spans="1:29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Y69" s="3"/>
      <c r="Z69" s="3"/>
      <c r="AA69" s="3"/>
      <c r="AB69" s="3"/>
      <c r="AC69" s="3"/>
    </row>
    <row r="70" spans="1:29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5">
    <mergeCell ref="AC8:AG8"/>
    <mergeCell ref="A1:AH3"/>
    <mergeCell ref="AC6:AG6"/>
    <mergeCell ref="AC7:AD7"/>
    <mergeCell ref="AF7:AG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F63"/>
  <sheetViews>
    <sheetView view="pageBreakPreview" zoomScaleSheetLayoutView="100" workbookViewId="0" topLeftCell="A1">
      <selection activeCell="S6" sqref="S6"/>
    </sheetView>
  </sheetViews>
  <sheetFormatPr defaultColWidth="8.88671875" defaultRowHeight="13.5"/>
  <cols>
    <col min="1" max="28" width="2.77734375" style="156" customWidth="1"/>
    <col min="29" max="38" width="2.77734375" style="180" customWidth="1"/>
    <col min="39" max="16384" width="8.88671875" style="156" customWidth="1"/>
  </cols>
  <sheetData>
    <row r="1" spans="1:32" ht="11.25" customHeight="1">
      <c r="A1" s="221" t="s">
        <v>645</v>
      </c>
      <c r="B1" s="221"/>
      <c r="C1" s="221"/>
      <c r="D1" s="221"/>
      <c r="E1" s="221"/>
      <c r="F1" s="221"/>
      <c r="G1" s="221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78"/>
      <c r="AD1" s="179"/>
      <c r="AE1" s="179"/>
      <c r="AF1" s="179"/>
    </row>
    <row r="2" spans="1:29" ht="11.25" customHeight="1">
      <c r="A2" s="222"/>
      <c r="B2" s="222"/>
      <c r="C2" s="222"/>
      <c r="D2" s="222"/>
      <c r="E2" s="222"/>
      <c r="F2" s="222"/>
      <c r="G2" s="222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8"/>
      <c r="W2" s="158"/>
      <c r="X2" s="158"/>
      <c r="Y2" s="158"/>
      <c r="Z2" s="158"/>
      <c r="AA2" s="158"/>
      <c r="AB2" s="158"/>
      <c r="AC2" s="181"/>
    </row>
    <row r="3" spans="1:32" ht="11.25" customHeight="1">
      <c r="A3" s="212" t="str">
        <f>G!A3</f>
        <v>S T R E N G T H     C A L.     o f     R E C T A N G U L A R     V E S S E L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182"/>
      <c r="AD3" s="179"/>
      <c r="AE3" s="179"/>
      <c r="AF3" s="179"/>
    </row>
    <row r="4" spans="1:32" ht="11.2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182"/>
      <c r="AD4" s="179"/>
      <c r="AE4" s="179"/>
      <c r="AF4" s="179"/>
    </row>
    <row r="5" spans="1:32" ht="11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58"/>
      <c r="S5" s="158"/>
      <c r="T5" s="158"/>
      <c r="U5" s="157" t="s">
        <v>646</v>
      </c>
      <c r="V5" s="158"/>
      <c r="W5" s="158"/>
      <c r="X5" s="210" t="s">
        <v>661</v>
      </c>
      <c r="Y5" s="210"/>
      <c r="Z5" s="210"/>
      <c r="AA5" s="210"/>
      <c r="AB5" s="210"/>
      <c r="AC5" s="178"/>
      <c r="AD5" s="179"/>
      <c r="AE5" s="179"/>
      <c r="AF5" s="179"/>
    </row>
    <row r="6" spans="1:32" ht="11.2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 t="s">
        <v>647</v>
      </c>
      <c r="V6" s="158"/>
      <c r="W6" s="158"/>
      <c r="X6" s="211" t="s">
        <v>785</v>
      </c>
      <c r="Y6" s="211"/>
      <c r="Z6" s="211"/>
      <c r="AA6" s="211"/>
      <c r="AB6" s="211"/>
      <c r="AC6" s="178"/>
      <c r="AD6" s="179"/>
      <c r="AE6" s="179"/>
      <c r="AF6" s="179"/>
    </row>
    <row r="7" spans="1:32" ht="11.2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 t="s">
        <v>648</v>
      </c>
      <c r="V7" s="158"/>
      <c r="W7" s="158"/>
      <c r="X7" s="161">
        <v>0</v>
      </c>
      <c r="Y7" s="162"/>
      <c r="Z7" s="162"/>
      <c r="AA7" s="162"/>
      <c r="AB7" s="162"/>
      <c r="AC7" s="178"/>
      <c r="AD7" s="179"/>
      <c r="AE7" s="179"/>
      <c r="AF7" s="179"/>
    </row>
    <row r="8" spans="1:29" ht="11.25" customHeight="1">
      <c r="A8" s="157"/>
      <c r="B8" s="163" t="s">
        <v>649</v>
      </c>
      <c r="C8" s="38" t="s">
        <v>650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 t="s">
        <v>651</v>
      </c>
      <c r="V8" s="158"/>
      <c r="W8" s="158"/>
      <c r="X8" s="158"/>
      <c r="Y8" s="164">
        <v>1</v>
      </c>
      <c r="Z8" s="161" t="s">
        <v>652</v>
      </c>
      <c r="AA8" s="165">
        <v>1</v>
      </c>
      <c r="AB8" s="161"/>
      <c r="AC8" s="181"/>
    </row>
    <row r="9" spans="1:29" ht="11.2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158"/>
      <c r="X9" s="158"/>
      <c r="Y9" s="158"/>
      <c r="Z9" s="158"/>
      <c r="AA9" s="158"/>
      <c r="AB9" s="158"/>
      <c r="AC9" s="181"/>
    </row>
    <row r="10" spans="1:29" ht="11.25" customHeight="1">
      <c r="A10" s="166"/>
      <c r="B10" s="166"/>
      <c r="C10" s="166" t="s">
        <v>653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58"/>
      <c r="W10" s="158"/>
      <c r="X10" s="158"/>
      <c r="Y10" s="158"/>
      <c r="Z10" s="158"/>
      <c r="AA10" s="158"/>
      <c r="AB10" s="158"/>
      <c r="AC10" s="181"/>
    </row>
    <row r="11" spans="1:29" ht="11.25" customHeight="1">
      <c r="A11" s="166"/>
      <c r="B11" s="166"/>
      <c r="C11" s="166" t="s">
        <v>654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58"/>
      <c r="W11" s="158"/>
      <c r="X11" s="158"/>
      <c r="Y11" s="158"/>
      <c r="Z11" s="158"/>
      <c r="AA11" s="158"/>
      <c r="AB11" s="158"/>
      <c r="AC11" s="181"/>
    </row>
    <row r="12" spans="1:29" ht="11.2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58"/>
      <c r="W12" s="158"/>
      <c r="X12" s="158"/>
      <c r="Y12" s="158"/>
      <c r="Z12" s="158"/>
      <c r="AA12" s="158"/>
      <c r="AB12" s="158"/>
      <c r="AC12" s="181"/>
    </row>
    <row r="13" spans="1:29" ht="11.2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8"/>
      <c r="W13" s="158"/>
      <c r="X13" s="158"/>
      <c r="Y13" s="158"/>
      <c r="Z13" s="158"/>
      <c r="AA13" s="158"/>
      <c r="AB13" s="158"/>
      <c r="AC13" s="181"/>
    </row>
    <row r="14" spans="1:29" ht="11.25" customHeight="1">
      <c r="A14" s="166"/>
      <c r="B14" s="163" t="s">
        <v>655</v>
      </c>
      <c r="C14" s="38" t="s">
        <v>656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58"/>
      <c r="W14" s="158"/>
      <c r="X14" s="158"/>
      <c r="Y14" s="158"/>
      <c r="Z14" s="158"/>
      <c r="AA14" s="158"/>
      <c r="AB14" s="158"/>
      <c r="AC14" s="181"/>
    </row>
    <row r="15" spans="1:29" ht="11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83"/>
    </row>
    <row r="16" spans="1:29" ht="11.25" customHeight="1">
      <c r="A16" s="157"/>
      <c r="B16" s="157"/>
      <c r="C16" s="38" t="s">
        <v>657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83"/>
    </row>
    <row r="17" spans="1:29" ht="11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83"/>
    </row>
    <row r="18" spans="1:29" ht="11.25" customHeight="1">
      <c r="A18" s="157"/>
      <c r="B18" s="157"/>
      <c r="C18" s="157"/>
      <c r="D18" s="157" t="s">
        <v>658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83"/>
    </row>
    <row r="19" spans="1:29" ht="11.25" customHeight="1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83"/>
    </row>
    <row r="20" spans="1:29" ht="11.2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83"/>
    </row>
    <row r="21" spans="1:29" ht="11.25" customHeight="1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58"/>
      <c r="W21" s="158"/>
      <c r="X21" s="158"/>
      <c r="Y21" s="158"/>
      <c r="Z21" s="158"/>
      <c r="AA21" s="158"/>
      <c r="AB21" s="158"/>
      <c r="AC21" s="181"/>
    </row>
    <row r="22" spans="1:29" ht="11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83"/>
    </row>
    <row r="23" spans="1:29" ht="11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83"/>
    </row>
    <row r="24" spans="1:29" ht="11.2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83"/>
    </row>
    <row r="25" spans="1:29" ht="11.2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83"/>
    </row>
    <row r="26" spans="1:29" ht="11.2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83"/>
    </row>
    <row r="27" spans="1:29" ht="11.25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83"/>
    </row>
    <row r="28" spans="1:29" ht="11.2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83"/>
    </row>
    <row r="29" spans="1:29" ht="11.2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83"/>
    </row>
    <row r="30" spans="1:29" ht="11.2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83"/>
    </row>
    <row r="31" spans="1:29" ht="11.25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83"/>
    </row>
    <row r="32" spans="1:29" ht="11.25" customHeight="1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83"/>
    </row>
    <row r="33" spans="1:29" ht="11.2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58"/>
      <c r="W33" s="158"/>
      <c r="X33" s="158"/>
      <c r="Y33" s="158"/>
      <c r="Z33" s="158"/>
      <c r="AA33" s="158"/>
      <c r="AB33" s="158"/>
      <c r="AC33" s="181"/>
    </row>
    <row r="34" spans="1:29" ht="11.2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83"/>
    </row>
    <row r="35" spans="1:29" ht="11.2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83"/>
    </row>
    <row r="36" spans="1:29" ht="11.2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83"/>
    </row>
    <row r="37" spans="1:29" ht="11.2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83"/>
    </row>
    <row r="38" spans="1:29" ht="11.2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83"/>
    </row>
    <row r="39" spans="1:29" ht="11.2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83"/>
    </row>
    <row r="40" spans="1:29" ht="11.2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83"/>
    </row>
    <row r="41" spans="1:29" ht="11.2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83"/>
    </row>
    <row r="42" spans="1:29" ht="11.2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83"/>
    </row>
    <row r="43" spans="1:29" ht="11.25" customHeight="1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83"/>
    </row>
    <row r="44" spans="1:29" ht="11.25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83"/>
    </row>
    <row r="45" spans="1:29" ht="11.2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58"/>
      <c r="W45" s="158"/>
      <c r="X45" s="158"/>
      <c r="Y45" s="158"/>
      <c r="Z45" s="158"/>
      <c r="AA45" s="158"/>
      <c r="AB45" s="158"/>
      <c r="AC45" s="181"/>
    </row>
    <row r="46" spans="1:29" ht="11.25" customHeight="1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83"/>
    </row>
    <row r="47" spans="1:29" ht="11.2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83"/>
    </row>
    <row r="48" spans="1:29" ht="11.25" customHeight="1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83"/>
    </row>
    <row r="49" spans="1:29" ht="11.2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83"/>
    </row>
    <row r="50" spans="1:29" ht="11.2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83"/>
    </row>
    <row r="51" spans="1:29" ht="11.2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83"/>
    </row>
    <row r="52" spans="1:29" ht="11.2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83"/>
    </row>
    <row r="53" spans="1:29" ht="11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83"/>
    </row>
    <row r="54" spans="1:29" ht="11.25" customHeight="1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83"/>
    </row>
    <row r="55" spans="1:29" ht="11.25" customHeight="1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83"/>
    </row>
    <row r="56" spans="1:29" ht="11.25" customHeight="1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83"/>
    </row>
    <row r="57" spans="1:29" ht="11.25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83"/>
    </row>
    <row r="58" spans="1:29" ht="11.25" customHeight="1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83"/>
    </row>
    <row r="59" spans="1:29" ht="11.25" customHeight="1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83"/>
    </row>
    <row r="60" spans="1:29" ht="11.25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83"/>
    </row>
    <row r="61" spans="1:29" ht="11.2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83"/>
    </row>
    <row r="62" spans="1:30" ht="11.25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83"/>
      <c r="AD62" s="184"/>
    </row>
    <row r="63" spans="1:30" ht="11.25" customHeight="1">
      <c r="A63" s="166" t="str">
        <f>cosymbol</f>
        <v> NTES</v>
      </c>
      <c r="AB63" s="177" t="str">
        <f>coname</f>
        <v>Narai Thermal Engineering Services </v>
      </c>
      <c r="AC63" s="184"/>
      <c r="AD63" s="184"/>
    </row>
    <row r="64" ht="11.25" customHeight="1"/>
    <row r="111" ht="13.5" customHeight="1"/>
    <row r="112" ht="13.5" customHeight="1"/>
  </sheetData>
  <mergeCells count="4">
    <mergeCell ref="A1:G2"/>
    <mergeCell ref="X5:AB5"/>
    <mergeCell ref="X6:AB6"/>
    <mergeCell ref="A3:AB4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5"/>
  <sheetViews>
    <sheetView tabSelected="1" zoomScaleSheetLayoutView="100" workbookViewId="0" topLeftCell="A1">
      <selection activeCell="X8" sqref="X8"/>
    </sheetView>
  </sheetViews>
  <sheetFormatPr defaultColWidth="8.88671875" defaultRowHeight="13.5"/>
  <cols>
    <col min="1" max="52" width="2.3359375" style="2" customWidth="1"/>
    <col min="53" max="16384" width="8.88671875" style="2" customWidth="1"/>
  </cols>
  <sheetData>
    <row r="1" spans="1:34" ht="9.75" customHeight="1">
      <c r="A1" s="312" t="s">
        <v>24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</row>
    <row r="2" spans="1:34" ht="9.7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</row>
    <row r="3" spans="1:34" ht="9.7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</row>
    <row r="4" spans="1:34" ht="9.75" customHeight="1">
      <c r="A4" s="6"/>
      <c r="B4" s="6" t="s">
        <v>5</v>
      </c>
      <c r="C4" s="6"/>
      <c r="D4" s="6"/>
      <c r="E4" s="13" t="s">
        <v>605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  <c r="T4" s="5"/>
      <c r="U4" s="5"/>
      <c r="V4" s="5"/>
      <c r="Y4" s="3"/>
      <c r="Z4" s="6" t="s">
        <v>12</v>
      </c>
      <c r="AA4" s="3"/>
      <c r="AB4" s="3"/>
      <c r="AC4" s="311" t="s">
        <v>606</v>
      </c>
      <c r="AD4" s="311"/>
      <c r="AE4" s="311"/>
      <c r="AF4" s="311"/>
      <c r="AG4" s="311"/>
      <c r="AH4" s="4"/>
    </row>
    <row r="5" spans="1:34" ht="9.75" customHeight="1">
      <c r="A5" s="6"/>
      <c r="B5" s="6" t="s">
        <v>6</v>
      </c>
      <c r="C5" s="6"/>
      <c r="D5" s="6"/>
      <c r="E5" s="13" t="s">
        <v>607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Y5" s="6"/>
      <c r="Z5" s="6" t="s">
        <v>14</v>
      </c>
      <c r="AA5" s="3"/>
      <c r="AB5" s="3"/>
      <c r="AC5" s="311">
        <v>1</v>
      </c>
      <c r="AD5" s="311"/>
      <c r="AE5" s="8" t="s">
        <v>15</v>
      </c>
      <c r="AF5" s="311" t="s">
        <v>21</v>
      </c>
      <c r="AG5" s="311"/>
      <c r="AH5" s="4"/>
    </row>
    <row r="6" spans="1:34" ht="9.75" customHeight="1">
      <c r="A6" s="6"/>
      <c r="B6" s="6" t="s">
        <v>7</v>
      </c>
      <c r="C6" s="6"/>
      <c r="D6" s="6"/>
      <c r="E6" s="13" t="s">
        <v>25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Y6" s="6"/>
      <c r="Z6" s="3" t="s">
        <v>22</v>
      </c>
      <c r="AA6" s="3"/>
      <c r="AB6" s="3"/>
      <c r="AC6" s="311" t="s">
        <v>783</v>
      </c>
      <c r="AD6" s="311"/>
      <c r="AE6" s="311"/>
      <c r="AF6" s="311"/>
      <c r="AG6" s="311"/>
      <c r="AH6" s="3"/>
    </row>
    <row r="7" spans="1:34" ht="9.75" customHeight="1">
      <c r="A7" s="6"/>
      <c r="B7" s="6"/>
      <c r="C7" s="12" t="s">
        <v>533</v>
      </c>
      <c r="D7" s="9" t="s">
        <v>536</v>
      </c>
      <c r="E7" s="6"/>
      <c r="F7" s="6"/>
      <c r="G7" s="6"/>
      <c r="H7" s="6"/>
      <c r="I7" s="6"/>
      <c r="J7" s="6" t="s">
        <v>534</v>
      </c>
      <c r="K7" s="6" t="s">
        <v>535</v>
      </c>
      <c r="L7" s="6"/>
      <c r="M7" s="6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Z7" s="6" t="s">
        <v>17</v>
      </c>
      <c r="AA7" s="3"/>
      <c r="AB7" s="3"/>
      <c r="AC7" s="311">
        <v>0</v>
      </c>
      <c r="AD7" s="311"/>
      <c r="AE7" s="311"/>
      <c r="AF7" s="311"/>
      <c r="AG7" s="311"/>
      <c r="AH7" s="188"/>
    </row>
    <row r="8" spans="1:29" ht="9.75" customHeight="1">
      <c r="A8" s="1"/>
      <c r="B8" s="1"/>
      <c r="C8" s="1"/>
      <c r="D8" s="9" t="s">
        <v>539</v>
      </c>
      <c r="E8" s="1"/>
      <c r="F8" s="1"/>
      <c r="G8" s="1"/>
      <c r="H8" s="1"/>
      <c r="I8" s="1"/>
      <c r="J8" s="1" t="s">
        <v>534</v>
      </c>
      <c r="K8" s="9" t="s">
        <v>541</v>
      </c>
      <c r="L8" s="1"/>
      <c r="M8" s="1"/>
      <c r="N8" s="1"/>
      <c r="O8" s="1"/>
      <c r="P8" s="1"/>
      <c r="Q8" s="1"/>
      <c r="R8" s="1"/>
      <c r="S8" s="21" t="s">
        <v>540</v>
      </c>
      <c r="T8" s="119">
        <v>4</v>
      </c>
      <c r="U8" s="1"/>
      <c r="AC8" s="3"/>
    </row>
    <row r="9" spans="1:29" ht="9.75" customHeight="1">
      <c r="A9" s="6"/>
      <c r="B9" s="6"/>
      <c r="C9" s="12" t="s">
        <v>3</v>
      </c>
      <c r="D9" s="9" t="s">
        <v>26</v>
      </c>
      <c r="E9" s="6"/>
      <c r="F9" s="6"/>
      <c r="G9" s="6"/>
      <c r="H9" s="6"/>
      <c r="I9" s="6"/>
      <c r="J9" s="6"/>
      <c r="K9" s="6"/>
      <c r="L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33" ht="9.75" customHeight="1">
      <c r="A10" s="1"/>
      <c r="B10" s="1"/>
      <c r="E10" s="1"/>
      <c r="F10" s="1"/>
      <c r="G10" s="1"/>
      <c r="H10" s="1"/>
      <c r="I10" s="1"/>
      <c r="J10" s="1"/>
      <c r="K10" s="1"/>
      <c r="L10" s="1"/>
      <c r="N10" s="1"/>
      <c r="O10" s="1"/>
      <c r="P10" s="1"/>
      <c r="Q10" s="1"/>
      <c r="R10" s="1"/>
      <c r="S10" s="1"/>
      <c r="T10" s="1"/>
      <c r="U10" s="1"/>
      <c r="Z10" s="301" t="s">
        <v>269</v>
      </c>
      <c r="AA10" s="302"/>
      <c r="AB10" s="302"/>
      <c r="AC10" s="302"/>
      <c r="AD10" s="302"/>
      <c r="AE10" s="302"/>
      <c r="AF10" s="302"/>
      <c r="AG10" s="303"/>
    </row>
    <row r="11" spans="1:33" ht="9.75" customHeight="1">
      <c r="A11" s="6"/>
      <c r="B11" s="6"/>
      <c r="C11" s="6"/>
      <c r="D11" s="6"/>
      <c r="E11" s="65" t="s">
        <v>47</v>
      </c>
      <c r="F11" s="65"/>
      <c r="G11" s="65"/>
      <c r="H11" s="65"/>
      <c r="I11" s="65"/>
      <c r="J11" s="65"/>
      <c r="K11" s="65"/>
      <c r="L11" s="294">
        <v>-115</v>
      </c>
      <c r="M11" s="294"/>
      <c r="N11" s="294"/>
      <c r="O11" s="65" t="s">
        <v>101</v>
      </c>
      <c r="P11" s="65"/>
      <c r="Q11" s="65"/>
      <c r="R11" s="6"/>
      <c r="S11" s="6"/>
      <c r="T11" s="6"/>
      <c r="U11" s="6"/>
      <c r="V11" s="3"/>
      <c r="W11" s="3"/>
      <c r="X11" s="3"/>
      <c r="Y11" s="3"/>
      <c r="Z11" s="76" t="s">
        <v>354</v>
      </c>
      <c r="AA11" s="48"/>
      <c r="AB11" s="50" t="s">
        <v>258</v>
      </c>
      <c r="AC11" s="48" t="s">
        <v>102</v>
      </c>
      <c r="AD11" s="49"/>
      <c r="AE11" s="49"/>
      <c r="AF11" s="49"/>
      <c r="AG11" s="77"/>
    </row>
    <row r="12" spans="1:33" ht="9.75" customHeight="1">
      <c r="A12" s="6"/>
      <c r="B12" s="6"/>
      <c r="C12" s="6"/>
      <c r="D12" s="6"/>
      <c r="E12" s="44" t="s">
        <v>48</v>
      </c>
      <c r="F12" s="44"/>
      <c r="G12" s="44"/>
      <c r="H12" s="44"/>
      <c r="I12" s="44"/>
      <c r="J12" s="44"/>
      <c r="K12" s="44"/>
      <c r="L12" s="295">
        <v>650</v>
      </c>
      <c r="M12" s="295"/>
      <c r="N12" s="295"/>
      <c r="O12" s="43" t="s">
        <v>51</v>
      </c>
      <c r="P12" s="44"/>
      <c r="Q12" s="44"/>
      <c r="R12" s="6"/>
      <c r="S12" s="6"/>
      <c r="T12" s="6"/>
      <c r="U12" s="6"/>
      <c r="V12" s="3"/>
      <c r="Y12" s="3"/>
      <c r="Z12" s="82" t="s">
        <v>355</v>
      </c>
      <c r="AA12" s="43"/>
      <c r="AB12" s="45" t="s">
        <v>258</v>
      </c>
      <c r="AC12" s="43" t="s">
        <v>259</v>
      </c>
      <c r="AD12" s="43"/>
      <c r="AE12" s="43"/>
      <c r="AF12" s="43"/>
      <c r="AG12" s="83"/>
    </row>
    <row r="13" spans="1:33" ht="9.75" customHeight="1">
      <c r="A13" s="6"/>
      <c r="B13" s="6"/>
      <c r="C13" s="6"/>
      <c r="D13" s="6"/>
      <c r="E13" s="43" t="s">
        <v>528</v>
      </c>
      <c r="F13" s="43"/>
      <c r="G13" s="43"/>
      <c r="H13" s="43"/>
      <c r="I13" s="43"/>
      <c r="J13" s="327" t="s">
        <v>529</v>
      </c>
      <c r="K13" s="327"/>
      <c r="L13" s="328" t="s">
        <v>530</v>
      </c>
      <c r="M13" s="328"/>
      <c r="N13" s="327" t="s">
        <v>531</v>
      </c>
      <c r="O13" s="327"/>
      <c r="P13" s="328" t="s">
        <v>532</v>
      </c>
      <c r="Q13" s="328"/>
      <c r="R13" s="6"/>
      <c r="S13" s="125" t="s">
        <v>557</v>
      </c>
      <c r="T13" s="10"/>
      <c r="U13" s="10"/>
      <c r="V13" s="10"/>
      <c r="W13" s="118"/>
      <c r="Z13" s="84" t="s">
        <v>356</v>
      </c>
      <c r="AA13" s="43"/>
      <c r="AB13" s="45" t="s">
        <v>350</v>
      </c>
      <c r="AC13" s="278">
        <f>stress(AC11,"plate",AC12,L12,O12,O11,3)</f>
        <v>16600</v>
      </c>
      <c r="AD13" s="278"/>
      <c r="AE13" s="278"/>
      <c r="AF13" s="43" t="str">
        <f>upsx(O11)</f>
        <v>psi</v>
      </c>
      <c r="AG13" s="83"/>
    </row>
    <row r="14" spans="1:33" ht="9.75" customHeight="1">
      <c r="A14" s="1"/>
      <c r="B14" s="1"/>
      <c r="C14" s="1"/>
      <c r="D14" s="1"/>
      <c r="E14" s="43" t="s">
        <v>340</v>
      </c>
      <c r="F14" s="43"/>
      <c r="G14" s="43"/>
      <c r="H14" s="43"/>
      <c r="I14" s="43"/>
      <c r="J14" s="295">
        <v>0.8</v>
      </c>
      <c r="K14" s="295"/>
      <c r="L14" s="329">
        <v>1</v>
      </c>
      <c r="M14" s="329"/>
      <c r="N14" s="295">
        <v>0.6</v>
      </c>
      <c r="O14" s="295"/>
      <c r="P14" s="329">
        <v>1</v>
      </c>
      <c r="Q14" s="329"/>
      <c r="R14" s="1"/>
      <c r="S14" s="126" t="s">
        <v>558</v>
      </c>
      <c r="T14" s="127"/>
      <c r="U14" s="127"/>
      <c r="V14" s="127"/>
      <c r="W14" s="139"/>
      <c r="Z14" s="85" t="s">
        <v>357</v>
      </c>
      <c r="AA14" s="43"/>
      <c r="AB14" s="45" t="s">
        <v>350</v>
      </c>
      <c r="AC14" s="278">
        <f>stress(AC11,"plate",AC12,L12,O12,O11,2)</f>
        <v>36000</v>
      </c>
      <c r="AD14" s="278"/>
      <c r="AE14" s="278"/>
      <c r="AF14" s="43" t="str">
        <f>AF13</f>
        <v>psi</v>
      </c>
      <c r="AG14" s="83"/>
    </row>
    <row r="15" spans="1:33" ht="9.75" customHeight="1">
      <c r="A15" s="1"/>
      <c r="B15" s="1"/>
      <c r="C15" s="1"/>
      <c r="D15" s="1"/>
      <c r="E15" s="43" t="s">
        <v>49</v>
      </c>
      <c r="F15" s="43"/>
      <c r="G15" s="43"/>
      <c r="H15" s="43"/>
      <c r="I15" s="43"/>
      <c r="J15" s="43"/>
      <c r="K15" s="43"/>
      <c r="L15" s="295">
        <v>0</v>
      </c>
      <c r="M15" s="295"/>
      <c r="N15" s="295"/>
      <c r="O15" s="43" t="s">
        <v>50</v>
      </c>
      <c r="P15" s="43"/>
      <c r="Q15" s="43"/>
      <c r="R15" s="1"/>
      <c r="S15" s="48" t="s">
        <v>359</v>
      </c>
      <c r="T15" s="48" t="s">
        <v>52</v>
      </c>
      <c r="U15" s="349">
        <f>25.4*3.75</f>
        <v>95.25</v>
      </c>
      <c r="V15" s="349"/>
      <c r="Z15" s="82" t="s">
        <v>351</v>
      </c>
      <c r="AA15" s="43"/>
      <c r="AB15" s="45" t="s">
        <v>258</v>
      </c>
      <c r="AC15" s="44" t="s">
        <v>267</v>
      </c>
      <c r="AD15" s="44"/>
      <c r="AE15" s="43"/>
      <c r="AF15" s="43"/>
      <c r="AG15" s="83"/>
    </row>
    <row r="16" spans="1:36" ht="9.75" customHeight="1">
      <c r="A16" s="1"/>
      <c r="B16" s="1"/>
      <c r="C16" s="1"/>
      <c r="D16" s="1"/>
      <c r="E16" s="43" t="s">
        <v>98</v>
      </c>
      <c r="F16" s="43"/>
      <c r="G16" s="43"/>
      <c r="H16" s="43"/>
      <c r="I16" s="43"/>
      <c r="J16" s="43"/>
      <c r="K16" s="43"/>
      <c r="L16" s="43" t="s">
        <v>102</v>
      </c>
      <c r="M16" s="43"/>
      <c r="N16" s="43"/>
      <c r="O16" s="43"/>
      <c r="P16" s="43"/>
      <c r="Q16" s="43"/>
      <c r="R16" s="1"/>
      <c r="S16" s="43" t="s">
        <v>278</v>
      </c>
      <c r="T16" s="43" t="s">
        <v>52</v>
      </c>
      <c r="U16" s="295">
        <f>25.4*1.5</f>
        <v>38.099999999999994</v>
      </c>
      <c r="V16" s="295"/>
      <c r="Z16" s="78" t="s">
        <v>352</v>
      </c>
      <c r="AA16" s="46"/>
      <c r="AB16" s="51" t="s">
        <v>258</v>
      </c>
      <c r="AC16" s="47" t="s">
        <v>286</v>
      </c>
      <c r="AD16" s="47"/>
      <c r="AE16" s="47"/>
      <c r="AF16" s="47"/>
      <c r="AG16" s="79"/>
      <c r="AI16" s="3"/>
      <c r="AJ16" s="3"/>
    </row>
    <row r="17" spans="1:33" ht="9.75" customHeight="1">
      <c r="A17" s="6"/>
      <c r="B17" s="6"/>
      <c r="C17" s="6"/>
      <c r="D17" s="6"/>
      <c r="E17" s="43" t="s">
        <v>99</v>
      </c>
      <c r="F17" s="43"/>
      <c r="G17" s="43"/>
      <c r="H17" s="43"/>
      <c r="I17" s="43"/>
      <c r="J17" s="43"/>
      <c r="K17" s="43"/>
      <c r="L17" s="43" t="s">
        <v>372</v>
      </c>
      <c r="M17" s="43"/>
      <c r="N17" s="43"/>
      <c r="O17" s="43"/>
      <c r="P17" s="44"/>
      <c r="Q17" s="44"/>
      <c r="S17" s="43" t="s">
        <v>576</v>
      </c>
      <c r="T17" s="43" t="s">
        <v>52</v>
      </c>
      <c r="U17" s="330">
        <f>(U15-U16)/U15</f>
        <v>0.6000000000000001</v>
      </c>
      <c r="V17" s="330"/>
      <c r="Z17" s="300" t="str">
        <f>IF(AC15="L Angle","A","H")</f>
        <v>H</v>
      </c>
      <c r="AA17" s="297"/>
      <c r="AB17" s="297" t="str">
        <f>"B"</f>
        <v>B</v>
      </c>
      <c r="AC17" s="297"/>
      <c r="AD17" s="297" t="str">
        <f>IF(AC15="L Angle","t","t1")</f>
        <v>t1</v>
      </c>
      <c r="AE17" s="297"/>
      <c r="AF17" s="297" t="s">
        <v>36</v>
      </c>
      <c r="AG17" s="298"/>
    </row>
    <row r="18" spans="1:36" ht="9.75" customHeight="1">
      <c r="A18" s="1"/>
      <c r="B18" s="1"/>
      <c r="C18" s="1"/>
      <c r="D18" s="1"/>
      <c r="E18" s="46" t="s">
        <v>100</v>
      </c>
      <c r="F18" s="46"/>
      <c r="G18" s="46"/>
      <c r="H18" s="46"/>
      <c r="I18" s="46"/>
      <c r="J18" s="46"/>
      <c r="K18" s="52" t="s">
        <v>103</v>
      </c>
      <c r="L18" s="280">
        <f>stress(L16,"plate",L17,L12,O12,O11,3)</f>
        <v>18800</v>
      </c>
      <c r="M18" s="280"/>
      <c r="N18" s="280"/>
      <c r="O18" s="46" t="str">
        <f>upsx(O11)</f>
        <v>psi</v>
      </c>
      <c r="P18" s="47"/>
      <c r="Q18" s="47"/>
      <c r="R18" s="1"/>
      <c r="S18" s="1"/>
      <c r="T18" s="1"/>
      <c r="U18" s="1"/>
      <c r="Z18" s="193">
        <f>shapesteel(AC15,AC16,2)</f>
        <v>150</v>
      </c>
      <c r="AA18" s="194"/>
      <c r="AB18" s="194">
        <f>shapesteel(AC15,AC16,3)</f>
        <v>75</v>
      </c>
      <c r="AC18" s="194"/>
      <c r="AD18" s="194">
        <f>shapesteel(AC15,AC16,4)</f>
        <v>5.5</v>
      </c>
      <c r="AE18" s="194"/>
      <c r="AF18" s="194">
        <f>shapesteel(AC15,AC16,5)</f>
        <v>9.5</v>
      </c>
      <c r="AG18" s="195"/>
      <c r="AI18" s="3"/>
      <c r="AJ18" s="3"/>
    </row>
    <row r="19" spans="1:36" ht="9.75" customHeight="1">
      <c r="A19" s="6"/>
      <c r="B19" s="6"/>
      <c r="C19" s="6"/>
      <c r="D19" s="6"/>
      <c r="E19" s="47" t="s">
        <v>341</v>
      </c>
      <c r="F19" s="47"/>
      <c r="G19" s="47"/>
      <c r="H19" s="47"/>
      <c r="I19" s="47"/>
      <c r="J19" s="47"/>
      <c r="K19" s="140" t="s">
        <v>342</v>
      </c>
      <c r="L19" s="280">
        <f>stress(L16,"plate",L17,L12,O12,O11,2)</f>
        <v>38000</v>
      </c>
      <c r="M19" s="280"/>
      <c r="N19" s="341"/>
      <c r="O19" s="301" t="s">
        <v>268</v>
      </c>
      <c r="P19" s="316"/>
      <c r="Q19" s="316"/>
      <c r="R19" s="316"/>
      <c r="S19" s="316"/>
      <c r="T19" s="316"/>
      <c r="U19" s="316"/>
      <c r="V19" s="317"/>
      <c r="Z19" s="80" t="s">
        <v>353</v>
      </c>
      <c r="AA19" s="46"/>
      <c r="AB19" s="51" t="s">
        <v>260</v>
      </c>
      <c r="AC19" s="315">
        <v>55</v>
      </c>
      <c r="AD19" s="315"/>
      <c r="AE19" s="52" t="s">
        <v>261</v>
      </c>
      <c r="AF19" s="105">
        <v>6</v>
      </c>
      <c r="AG19" s="104" t="s">
        <v>385</v>
      </c>
      <c r="AI19" s="3"/>
      <c r="AJ19" s="3"/>
    </row>
    <row r="20" spans="1:33" ht="9.75" customHeight="1">
      <c r="A20" s="6"/>
      <c r="B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6" t="s">
        <v>351</v>
      </c>
      <c r="P20" s="49"/>
      <c r="Q20" s="50" t="s">
        <v>258</v>
      </c>
      <c r="R20" s="48" t="s">
        <v>267</v>
      </c>
      <c r="S20" s="48"/>
      <c r="T20" s="49"/>
      <c r="U20" s="49"/>
      <c r="V20" s="77"/>
      <c r="Z20" s="318" t="s">
        <v>359</v>
      </c>
      <c r="AA20" s="319"/>
      <c r="AB20" s="47"/>
      <c r="AC20" s="321" t="s">
        <v>311</v>
      </c>
      <c r="AD20" s="321"/>
      <c r="AE20" s="47"/>
      <c r="AF20" s="47"/>
      <c r="AG20" s="79"/>
    </row>
    <row r="21" spans="1:33" ht="9.75" customHeight="1">
      <c r="A21" s="1"/>
      <c r="C21" s="12" t="s">
        <v>27</v>
      </c>
      <c r="D21" s="9" t="s">
        <v>28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78" t="s">
        <v>352</v>
      </c>
      <c r="P21" s="46"/>
      <c r="Q21" s="51" t="s">
        <v>258</v>
      </c>
      <c r="R21" s="47" t="s">
        <v>290</v>
      </c>
      <c r="S21" s="47"/>
      <c r="T21" s="47"/>
      <c r="U21" s="47"/>
      <c r="V21" s="79"/>
      <c r="W21" s="3"/>
      <c r="X21" s="3"/>
      <c r="Y21" s="3"/>
      <c r="Z21" s="320">
        <v>329</v>
      </c>
      <c r="AA21" s="284"/>
      <c r="AB21" s="95" t="str">
        <f>IF(Z21&lt;=AC21,"&lt;","&gt;")</f>
        <v>&lt;</v>
      </c>
      <c r="AC21" s="286">
        <f>MIN(stfnpmax,stfnwmax)</f>
        <v>488.62219018055464</v>
      </c>
      <c r="AD21" s="286"/>
      <c r="AE21" s="106" t="str">
        <f>IF(Z21&lt;=AC21,"OK !","NO !")</f>
        <v>OK !</v>
      </c>
      <c r="AF21" s="107"/>
      <c r="AG21" s="81"/>
    </row>
    <row r="22" spans="1:25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00" t="str">
        <f>IF(R20="L Angle","A","H")</f>
        <v>H</v>
      </c>
      <c r="P22" s="297"/>
      <c r="Q22" s="297" t="str">
        <f>"B"</f>
        <v>B</v>
      </c>
      <c r="R22" s="297"/>
      <c r="S22" s="297" t="str">
        <f>IF(R20="L Angle","t","t1")</f>
        <v>t1</v>
      </c>
      <c r="T22" s="297"/>
      <c r="U22" s="297" t="s">
        <v>36</v>
      </c>
      <c r="V22" s="298"/>
      <c r="W22" s="1"/>
      <c r="X22" s="3"/>
      <c r="Y22" s="1"/>
    </row>
    <row r="23" spans="1:32" ht="9.75" customHeight="1">
      <c r="A23" s="6"/>
      <c r="B23" s="6"/>
      <c r="C23" s="6"/>
      <c r="D23" s="6"/>
      <c r="E23" s="6"/>
      <c r="F23" s="6"/>
      <c r="G23" s="273">
        <f>H25+D25+K25</f>
        <v>228.59999999999997</v>
      </c>
      <c r="H23" s="273"/>
      <c r="I23" s="273"/>
      <c r="J23" s="273"/>
      <c r="K23" s="6"/>
      <c r="L23" s="6"/>
      <c r="M23" s="6"/>
      <c r="N23" s="6"/>
      <c r="O23" s="193">
        <f>shapesteel(R20,R21,2)</f>
        <v>200</v>
      </c>
      <c r="P23" s="194"/>
      <c r="Q23" s="194">
        <f>shapesteel(R20,R21,3)</f>
        <v>100</v>
      </c>
      <c r="R23" s="194"/>
      <c r="S23" s="194">
        <f>shapesteel(R20,R21,4)</f>
        <v>7</v>
      </c>
      <c r="T23" s="194"/>
      <c r="U23" s="194">
        <f>shapesteel(R20,R21,5)</f>
        <v>10</v>
      </c>
      <c r="V23" s="195"/>
      <c r="W23" s="19"/>
      <c r="X23" s="3"/>
      <c r="Y23" s="19"/>
      <c r="AD23" s="6"/>
      <c r="AE23" s="3"/>
      <c r="AF23" s="3"/>
    </row>
    <row r="24" spans="1:32" ht="9.75" customHeight="1">
      <c r="A24" s="6"/>
      <c r="B24" s="6"/>
      <c r="E24" s="322">
        <f>D25-ca</f>
        <v>25.4</v>
      </c>
      <c r="F24" s="322"/>
      <c r="G24" s="6"/>
      <c r="H24" s="307">
        <f>H25+2*ca</f>
        <v>152.39999999999998</v>
      </c>
      <c r="I24" s="307"/>
      <c r="J24" s="6"/>
      <c r="K24" s="323">
        <f>K25-ca</f>
        <v>50.8</v>
      </c>
      <c r="L24" s="323"/>
      <c r="M24" s="38"/>
      <c r="N24" s="38"/>
      <c r="O24" s="80" t="s">
        <v>353</v>
      </c>
      <c r="P24" s="46"/>
      <c r="Q24" s="51" t="s">
        <v>260</v>
      </c>
      <c r="R24" s="315">
        <v>100</v>
      </c>
      <c r="S24" s="315"/>
      <c r="T24" s="52" t="s">
        <v>261</v>
      </c>
      <c r="U24" s="100">
        <v>8</v>
      </c>
      <c r="V24" s="104" t="s">
        <v>385</v>
      </c>
      <c r="W24" s="6"/>
      <c r="X24" s="3"/>
      <c r="Y24" s="6"/>
      <c r="AD24" s="6"/>
      <c r="AE24" s="3"/>
      <c r="AF24" s="3"/>
    </row>
    <row r="25" spans="1:32" ht="9.75" customHeight="1">
      <c r="A25" s="6"/>
      <c r="B25" s="6"/>
      <c r="D25" s="296">
        <v>25.4</v>
      </c>
      <c r="E25" s="296"/>
      <c r="F25" s="296"/>
      <c r="G25" s="17" t="s">
        <v>29</v>
      </c>
      <c r="H25" s="299">
        <f>25.4*6</f>
        <v>152.39999999999998</v>
      </c>
      <c r="I25" s="299"/>
      <c r="J25" s="6"/>
      <c r="K25" s="296">
        <v>50.8</v>
      </c>
      <c r="L25" s="296"/>
      <c r="M25" s="296"/>
      <c r="N25" s="13"/>
      <c r="O25" s="23"/>
      <c r="P25" s="23"/>
      <c r="Q25" s="23"/>
      <c r="R25" s="10"/>
      <c r="S25" s="108"/>
      <c r="T25" s="32"/>
      <c r="U25" s="23"/>
      <c r="V25" s="10"/>
      <c r="W25" s="20"/>
      <c r="X25" s="3"/>
      <c r="Y25" s="20"/>
      <c r="AD25" s="6"/>
      <c r="AE25" s="3"/>
      <c r="AF25" s="3"/>
    </row>
    <row r="26" spans="1:30" ht="9.75" customHeight="1">
      <c r="A26" s="1"/>
      <c r="B26" s="1"/>
      <c r="C26" s="1"/>
      <c r="D26" s="1"/>
      <c r="E26" s="308" t="s">
        <v>225</v>
      </c>
      <c r="F26" s="1"/>
      <c r="H26" s="6"/>
      <c r="I26" s="1"/>
      <c r="K26" s="1"/>
      <c r="L26" s="308" t="s">
        <v>291</v>
      </c>
      <c r="M26" s="1"/>
      <c r="N26" s="9" t="s">
        <v>537</v>
      </c>
      <c r="O26" s="1"/>
      <c r="P26" s="1"/>
      <c r="S26" s="1"/>
      <c r="U26" s="1"/>
      <c r="X26" s="3"/>
      <c r="Y26" s="1"/>
      <c r="AD26" s="1"/>
    </row>
    <row r="27" spans="1:31" ht="9.75" customHeight="1">
      <c r="A27" s="1"/>
      <c r="B27" s="1"/>
      <c r="C27" s="1"/>
      <c r="D27" s="1"/>
      <c r="E27" s="308"/>
      <c r="F27" s="1"/>
      <c r="G27" s="6" t="s">
        <v>35</v>
      </c>
      <c r="H27" s="1"/>
      <c r="I27" s="1"/>
      <c r="J27" s="6" t="s">
        <v>35</v>
      </c>
      <c r="K27" s="1"/>
      <c r="L27" s="308"/>
      <c r="M27" s="1"/>
      <c r="N27" s="9" t="s">
        <v>538</v>
      </c>
      <c r="O27" s="1"/>
      <c r="S27" s="1"/>
      <c r="U27" s="1"/>
      <c r="V27" s="1"/>
      <c r="Y27" s="3"/>
      <c r="AD27" s="1"/>
      <c r="AE27" s="1"/>
    </row>
    <row r="28" spans="1:38" ht="9.75" customHeight="1">
      <c r="A28" s="1"/>
      <c r="B28" s="1"/>
      <c r="C28" s="1"/>
      <c r="D28" s="1"/>
      <c r="E28" s="1"/>
      <c r="F28" s="1"/>
      <c r="G28" s="1"/>
      <c r="H28" s="1"/>
      <c r="I28" s="1"/>
      <c r="J28" s="6"/>
      <c r="K28" s="1"/>
      <c r="L28" s="1"/>
      <c r="M28" s="1"/>
      <c r="N28" s="1"/>
      <c r="O28" s="40"/>
      <c r="S28" s="1"/>
      <c r="U28" s="1"/>
      <c r="V28" s="1"/>
      <c r="W28" s="6"/>
      <c r="X28" s="3"/>
      <c r="Y28" s="1"/>
      <c r="AD28" s="1"/>
      <c r="AE28" s="1"/>
      <c r="AL28" s="1"/>
    </row>
    <row r="29" spans="1:38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39"/>
      <c r="P29" s="6"/>
      <c r="Q29" s="6"/>
      <c r="R29" s="3"/>
      <c r="S29" s="6"/>
      <c r="T29" s="3"/>
      <c r="U29" s="6"/>
      <c r="V29" s="3"/>
      <c r="W29" s="6"/>
      <c r="X29" s="3"/>
      <c r="Y29" s="6"/>
      <c r="AD29" s="6"/>
      <c r="AE29" s="3"/>
      <c r="AF29" s="3"/>
      <c r="AL29" s="3"/>
    </row>
    <row r="30" spans="1:30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6" t="s">
        <v>38</v>
      </c>
      <c r="N30" s="311">
        <f>25.4*0.625</f>
        <v>15.875</v>
      </c>
      <c r="O30" s="311"/>
      <c r="P30" s="305">
        <f>N30-ca</f>
        <v>15.875</v>
      </c>
      <c r="Q30" s="305"/>
      <c r="S30" s="1"/>
      <c r="U30" s="1"/>
      <c r="W30" s="1"/>
      <c r="X30" s="3"/>
      <c r="Y30" s="1"/>
      <c r="AD30" s="1"/>
    </row>
    <row r="31" spans="1:30" ht="9.75" customHeight="1">
      <c r="A31" s="1"/>
      <c r="B31" s="1"/>
      <c r="C31" s="1"/>
      <c r="D31" s="1"/>
      <c r="E31" s="1"/>
      <c r="F31" s="18" t="s">
        <v>34</v>
      </c>
      <c r="G31" s="1"/>
      <c r="H31" s="1"/>
      <c r="I31" s="18" t="s">
        <v>31</v>
      </c>
      <c r="J31" s="1"/>
      <c r="K31" s="18" t="s">
        <v>30</v>
      </c>
      <c r="L31" s="1"/>
      <c r="M31" s="1"/>
      <c r="N31" s="1"/>
      <c r="P31" s="1"/>
      <c r="Q31" s="1"/>
      <c r="S31" s="1"/>
      <c r="U31" s="276" t="s">
        <v>381</v>
      </c>
      <c r="W31" s="1"/>
      <c r="X31" s="276" t="s">
        <v>382</v>
      </c>
      <c r="Y31" s="1"/>
      <c r="AD31" s="1"/>
    </row>
    <row r="32" spans="1:38" ht="9.75" customHeight="1">
      <c r="A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09" t="s">
        <v>39</v>
      </c>
      <c r="P32" s="6"/>
      <c r="Q32" s="6"/>
      <c r="R32" s="3"/>
      <c r="S32" s="6"/>
      <c r="T32" s="3"/>
      <c r="U32" s="276"/>
      <c r="W32" s="17" t="s">
        <v>111</v>
      </c>
      <c r="X32" s="276"/>
      <c r="Y32" s="6"/>
      <c r="AE32" s="3"/>
      <c r="AF32" s="3"/>
      <c r="AL32" s="3"/>
    </row>
    <row r="33" spans="1:38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309"/>
      <c r="P33" s="6"/>
      <c r="Q33" s="6"/>
      <c r="R33" s="3"/>
      <c r="S33" s="6"/>
      <c r="T33" s="29" t="s">
        <v>111</v>
      </c>
      <c r="U33" s="276"/>
      <c r="V33" s="3"/>
      <c r="W33" s="6"/>
      <c r="X33" s="276"/>
      <c r="Y33" s="6"/>
      <c r="AD33" s="6"/>
      <c r="AE33" s="3"/>
      <c r="AF33" s="3"/>
      <c r="AL33" s="3"/>
    </row>
    <row r="34" spans="1:30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09"/>
      <c r="P34" s="1"/>
      <c r="Q34" s="1"/>
      <c r="S34" s="1"/>
      <c r="U34" s="276"/>
      <c r="W34" s="28"/>
      <c r="X34" s="291" t="s">
        <v>110</v>
      </c>
      <c r="Y34" s="291"/>
      <c r="AD34" s="1"/>
    </row>
    <row r="35" spans="1:38" ht="9.75" customHeight="1">
      <c r="A35" s="6"/>
      <c r="B35" s="1"/>
      <c r="F35" s="6"/>
      <c r="G35" s="6"/>
      <c r="H35" s="6"/>
      <c r="I35" s="6"/>
      <c r="N35" s="309"/>
      <c r="O35" s="342">
        <f>25.4*13.5</f>
        <v>342.9</v>
      </c>
      <c r="P35" s="343">
        <f>O35+2*ca</f>
        <v>342.9</v>
      </c>
      <c r="Q35" s="344">
        <f>O35+2*N30</f>
        <v>374.65</v>
      </c>
      <c r="T35" s="3"/>
      <c r="U35" s="276"/>
      <c r="W35" s="6"/>
      <c r="X35" s="276" t="str">
        <f>X31</f>
        <v>***</v>
      </c>
      <c r="Y35" s="6"/>
      <c r="AD35" s="6"/>
      <c r="AE35" s="3"/>
      <c r="AF35" s="3"/>
      <c r="AL35" s="3"/>
    </row>
    <row r="36" spans="1:30" ht="9.75" customHeight="1">
      <c r="A36" s="1"/>
      <c r="B36" s="1"/>
      <c r="C36" s="1"/>
      <c r="D36" s="1"/>
      <c r="E36" s="1"/>
      <c r="F36" s="18" t="s">
        <v>32</v>
      </c>
      <c r="G36" s="1"/>
      <c r="H36" s="1"/>
      <c r="I36" s="1"/>
      <c r="J36" s="1"/>
      <c r="K36" s="18" t="s">
        <v>33</v>
      </c>
      <c r="L36" s="1"/>
      <c r="M36" s="1"/>
      <c r="O36" s="342"/>
      <c r="P36" s="343"/>
      <c r="Q36" s="344"/>
      <c r="S36" s="325"/>
      <c r="T36" s="348" t="s">
        <v>379</v>
      </c>
      <c r="U36" s="348"/>
      <c r="W36" s="326" t="s">
        <v>111</v>
      </c>
      <c r="X36" s="276"/>
      <c r="Y36" s="1"/>
      <c r="AD36" s="1"/>
    </row>
    <row r="37" spans="1:38" ht="9.75" customHeight="1">
      <c r="A37" s="6"/>
      <c r="B37" s="6"/>
      <c r="C37" s="6"/>
      <c r="D37" s="6"/>
      <c r="E37" s="6"/>
      <c r="F37" s="6" t="s">
        <v>542</v>
      </c>
      <c r="G37" s="296">
        <v>1</v>
      </c>
      <c r="H37" s="296"/>
      <c r="I37" s="6"/>
      <c r="J37" s="6"/>
      <c r="K37" s="6"/>
      <c r="L37" s="6"/>
      <c r="M37" s="6"/>
      <c r="N37" s="3"/>
      <c r="O37" s="342"/>
      <c r="P37" s="343"/>
      <c r="Q37" s="344"/>
      <c r="S37" s="325"/>
      <c r="T37" s="348"/>
      <c r="U37" s="348"/>
      <c r="V37" s="3"/>
      <c r="W37" s="326"/>
      <c r="X37" s="276"/>
      <c r="Y37" s="6"/>
      <c r="AD37" s="6"/>
      <c r="AE37" s="3"/>
      <c r="AF37" s="3"/>
      <c r="AL37" s="3"/>
    </row>
    <row r="38" spans="1:30" ht="9.75" customHeight="1">
      <c r="A38" s="1"/>
      <c r="B38" s="1"/>
      <c r="C38" s="1"/>
      <c r="D38" s="1"/>
      <c r="E38" s="1"/>
      <c r="F38" s="31" t="s">
        <v>577</v>
      </c>
      <c r="G38" s="1"/>
      <c r="H38" s="1"/>
      <c r="I38" s="1"/>
      <c r="J38" s="1"/>
      <c r="K38" s="1"/>
      <c r="L38" s="1"/>
      <c r="M38" s="1"/>
      <c r="N38" s="309" t="s">
        <v>40</v>
      </c>
      <c r="O38" s="342"/>
      <c r="P38" s="343"/>
      <c r="Q38" s="344"/>
      <c r="S38" s="1"/>
      <c r="U38" s="331" t="str">
        <f>U31</f>
        <v>***</v>
      </c>
      <c r="W38" s="1"/>
      <c r="X38" s="276"/>
      <c r="Y38" s="1"/>
      <c r="AD38" s="1"/>
    </row>
    <row r="39" spans="1:38" ht="9.75" customHeight="1">
      <c r="A39" s="6"/>
      <c r="B39" s="6"/>
      <c r="C39" s="6"/>
      <c r="D39" s="6"/>
      <c r="E39" s="6"/>
      <c r="F39" s="141" t="s">
        <v>578</v>
      </c>
      <c r="G39" s="6"/>
      <c r="H39" s="6"/>
      <c r="I39" s="6"/>
      <c r="J39" s="6"/>
      <c r="K39" s="6"/>
      <c r="L39" s="6"/>
      <c r="M39" s="6"/>
      <c r="N39" s="309"/>
      <c r="O39" s="310" t="s">
        <v>41</v>
      </c>
      <c r="Q39" s="6"/>
      <c r="R39" s="3"/>
      <c r="S39" s="6"/>
      <c r="T39" s="3"/>
      <c r="U39" s="331"/>
      <c r="V39" s="3"/>
      <c r="W39" s="28"/>
      <c r="X39" s="306" t="str">
        <f>X34</f>
        <v>t4</v>
      </c>
      <c r="Y39" s="306"/>
      <c r="AD39" s="6"/>
      <c r="AE39" s="3"/>
      <c r="AF39" s="3"/>
      <c r="AL39" s="3"/>
    </row>
    <row r="40" spans="1:38" ht="9.75" customHeight="1">
      <c r="A40" s="6"/>
      <c r="B40" s="6"/>
      <c r="C40" s="6"/>
      <c r="D40" s="1"/>
      <c r="E40" s="1"/>
      <c r="F40" s="6"/>
      <c r="G40" s="6"/>
      <c r="H40" s="6"/>
      <c r="I40" s="6"/>
      <c r="J40" s="6"/>
      <c r="K40" s="6"/>
      <c r="L40" s="1"/>
      <c r="M40" s="1"/>
      <c r="N40" s="309"/>
      <c r="O40" s="310"/>
      <c r="Q40" s="6"/>
      <c r="R40" s="3"/>
      <c r="S40" s="6"/>
      <c r="T40" s="29" t="s">
        <v>111</v>
      </c>
      <c r="U40" s="331"/>
      <c r="V40" s="3"/>
      <c r="W40" s="6"/>
      <c r="X40" s="276" t="str">
        <f>X31</f>
        <v>***</v>
      </c>
      <c r="Y40" s="6"/>
      <c r="AD40" s="6"/>
      <c r="AE40" s="3"/>
      <c r="AF40" s="3"/>
      <c r="AL40" s="3"/>
    </row>
    <row r="41" spans="1:30" ht="9.75" customHeight="1">
      <c r="A41" s="1"/>
      <c r="B41" s="1"/>
      <c r="F41" s="1"/>
      <c r="G41" s="1"/>
      <c r="H41" s="1"/>
      <c r="I41" s="1"/>
      <c r="N41" s="309"/>
      <c r="P41" s="1"/>
      <c r="Q41" s="1"/>
      <c r="U41" s="331"/>
      <c r="W41" s="17" t="s">
        <v>111</v>
      </c>
      <c r="X41" s="276"/>
      <c r="Y41" s="1"/>
      <c r="AD41" s="1"/>
    </row>
    <row r="42" spans="1:30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S42" s="1"/>
      <c r="U42" s="331"/>
      <c r="W42" s="1"/>
      <c r="X42" s="276"/>
      <c r="Y42" s="1"/>
      <c r="AD42" s="1"/>
    </row>
    <row r="43" spans="1:38" ht="9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36" t="s">
        <v>38</v>
      </c>
      <c r="N43" s="304">
        <f>N30</f>
        <v>15.875</v>
      </c>
      <c r="O43" s="304"/>
      <c r="P43" s="305">
        <f>P30</f>
        <v>15.875</v>
      </c>
      <c r="Q43" s="305"/>
      <c r="R43" s="3"/>
      <c r="S43" s="6"/>
      <c r="T43" s="3"/>
      <c r="U43" s="6"/>
      <c r="V43" s="3"/>
      <c r="W43" s="6"/>
      <c r="X43" s="3"/>
      <c r="Y43" s="6"/>
      <c r="AD43" s="6"/>
      <c r="AE43" s="3"/>
      <c r="AF43" s="3"/>
      <c r="AL43" s="3"/>
    </row>
    <row r="44" spans="1:25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40"/>
      <c r="P44" s="1"/>
      <c r="Q44" s="1"/>
      <c r="S44" s="1"/>
      <c r="U44" s="1"/>
      <c r="W44" s="1"/>
      <c r="X44" s="3"/>
      <c r="Y44" s="1"/>
    </row>
    <row r="45" spans="1:38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P45" s="6"/>
      <c r="Q45" s="3"/>
      <c r="R45" s="3"/>
      <c r="S45" s="6"/>
      <c r="T45" s="3"/>
      <c r="U45" s="6"/>
      <c r="V45" s="3"/>
      <c r="W45" s="6"/>
      <c r="Y45" s="6"/>
      <c r="AL45" s="3"/>
    </row>
    <row r="46" spans="1:38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3"/>
      <c r="Q46" s="3"/>
      <c r="R46" s="3"/>
      <c r="S46" s="6"/>
      <c r="T46" s="3"/>
      <c r="U46" s="6"/>
      <c r="V46" s="3"/>
      <c r="W46" s="6"/>
      <c r="Y46" s="6"/>
      <c r="AD46" s="6"/>
      <c r="AE46" s="6"/>
      <c r="AL46" s="6"/>
    </row>
    <row r="47" spans="1:29" ht="9.75" customHeight="1">
      <c r="A47" s="1"/>
      <c r="B47" s="1"/>
      <c r="D47" s="1"/>
      <c r="E47" s="1" t="s">
        <v>769</v>
      </c>
      <c r="F47" s="1"/>
      <c r="G47" s="1"/>
      <c r="H47" s="1"/>
      <c r="I47" s="1"/>
      <c r="J47" s="296">
        <v>1000</v>
      </c>
      <c r="K47" s="296"/>
      <c r="L47" s="1" t="s">
        <v>104</v>
      </c>
      <c r="M47" s="6" t="s">
        <v>782</v>
      </c>
      <c r="N47" s="6"/>
      <c r="O47" s="1"/>
      <c r="P47" s="1"/>
      <c r="Q47" s="90"/>
      <c r="R47" s="10"/>
      <c r="S47" s="243" t="s">
        <v>369</v>
      </c>
      <c r="T47" s="243"/>
      <c r="U47" s="243"/>
      <c r="V47" s="91"/>
      <c r="W47" s="245" t="s">
        <v>370</v>
      </c>
      <c r="X47" s="243"/>
      <c r="Y47" s="243"/>
      <c r="Z47" s="92"/>
      <c r="AA47" s="91"/>
      <c r="AC47" s="3"/>
    </row>
    <row r="48" spans="1:29" ht="9.75" customHeight="1">
      <c r="A48" s="6"/>
      <c r="B48" s="6"/>
      <c r="C48" s="6"/>
      <c r="D48" s="6"/>
      <c r="E48" s="1" t="s">
        <v>720</v>
      </c>
      <c r="F48" s="1"/>
      <c r="G48" s="1"/>
      <c r="H48" s="1"/>
      <c r="I48" s="1"/>
      <c r="J48" s="296">
        <v>25</v>
      </c>
      <c r="K48" s="296"/>
      <c r="L48" s="1" t="s">
        <v>104</v>
      </c>
      <c r="M48" s="322">
        <f>J48-ca</f>
        <v>25</v>
      </c>
      <c r="N48" s="322"/>
      <c r="O48" s="6"/>
      <c r="P48" s="6"/>
      <c r="Q48" s="93" t="s">
        <v>371</v>
      </c>
      <c r="R48" s="63"/>
      <c r="S48" s="49" t="s">
        <v>372</v>
      </c>
      <c r="T48" s="49"/>
      <c r="U48" s="49"/>
      <c r="V48" s="77"/>
      <c r="W48" s="48" t="s">
        <v>259</v>
      </c>
      <c r="X48" s="48"/>
      <c r="Y48" s="48"/>
      <c r="Z48" s="65"/>
      <c r="AA48" s="94"/>
      <c r="AB48" s="3"/>
      <c r="AC48" s="3"/>
    </row>
    <row r="49" spans="1:32" ht="9.75" customHeight="1">
      <c r="A49" s="1"/>
      <c r="B49" s="1"/>
      <c r="C49" s="12" t="s">
        <v>67</v>
      </c>
      <c r="D49" s="9" t="s">
        <v>266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84" t="s">
        <v>373</v>
      </c>
      <c r="R49" s="43"/>
      <c r="S49" s="278">
        <f>stress(L16,"plate",S48,L12,O12,O11,3)</f>
        <v>18800</v>
      </c>
      <c r="T49" s="278"/>
      <c r="U49" s="278"/>
      <c r="V49" s="83"/>
      <c r="W49" s="277">
        <f>stress(L16,"plate",W48,L12,O12,O11,3)</f>
        <v>16600</v>
      </c>
      <c r="X49" s="278"/>
      <c r="Y49" s="278"/>
      <c r="Z49" s="43" t="str">
        <f>O18</f>
        <v>psi</v>
      </c>
      <c r="AA49" s="43"/>
      <c r="AB49" s="292" t="s">
        <v>375</v>
      </c>
      <c r="AC49" s="243"/>
      <c r="AD49" s="96" t="str">
        <f>IF(AB50&lt;=AE50,"OK !","NO !")</f>
        <v>OK !</v>
      </c>
      <c r="AE49" s="227" t="s">
        <v>376</v>
      </c>
      <c r="AF49" s="231"/>
    </row>
    <row r="50" spans="1:32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97" t="s">
        <v>374</v>
      </c>
      <c r="R50" s="47"/>
      <c r="S50" s="280">
        <f>stress(L16,"plate",S48,L12,O12,O11,2)</f>
        <v>38000</v>
      </c>
      <c r="T50" s="280"/>
      <c r="U50" s="280"/>
      <c r="V50" s="79"/>
      <c r="W50" s="279">
        <f>stress(L16,"plate",W48,L12,O12,O11,2)</f>
        <v>36000</v>
      </c>
      <c r="X50" s="280"/>
      <c r="Y50" s="280"/>
      <c r="Z50" s="46" t="str">
        <f>Z49</f>
        <v>psi</v>
      </c>
      <c r="AA50" s="46"/>
      <c r="AB50" s="283">
        <v>304.8</v>
      </c>
      <c r="AC50" s="284"/>
      <c r="AD50" s="95" t="str">
        <f>IF(AB50&lt;=AE50,"&lt;","&gt;")</f>
        <v>&lt;</v>
      </c>
      <c r="AE50" s="286">
        <f>sbpmax</f>
        <v>865.0036207060152</v>
      </c>
      <c r="AF50" s="287"/>
    </row>
    <row r="51" spans="1:27" ht="9.75" customHeight="1">
      <c r="A51" s="6"/>
      <c r="B51" s="6"/>
      <c r="D51" s="9" t="s">
        <v>68</v>
      </c>
      <c r="P51" s="6"/>
      <c r="Q51" s="84" t="s">
        <v>378</v>
      </c>
      <c r="R51" s="295">
        <v>12.7</v>
      </c>
      <c r="S51" s="295"/>
      <c r="T51" s="45" t="s">
        <v>380</v>
      </c>
      <c r="U51" s="332">
        <f>(O35-R51)/2+2*U53</f>
        <v>165.1</v>
      </c>
      <c r="V51" s="333"/>
      <c r="W51" s="337">
        <v>31.8</v>
      </c>
      <c r="X51" s="295"/>
      <c r="Y51" s="45" t="s">
        <v>380</v>
      </c>
      <c r="Z51" s="332">
        <f>(O35-W51)/2+2*U53</f>
        <v>155.54999999999998</v>
      </c>
      <c r="AA51" s="333"/>
    </row>
    <row r="52" spans="1:32" ht="9.75" customHeight="1">
      <c r="A52" s="6"/>
      <c r="B52" s="6"/>
      <c r="C52" s="6"/>
      <c r="D52" s="6"/>
      <c r="E52" s="7" t="s">
        <v>69</v>
      </c>
      <c r="F52" s="6"/>
      <c r="G52" s="6" t="s">
        <v>52</v>
      </c>
      <c r="H52" s="6" t="s">
        <v>70</v>
      </c>
      <c r="I52" s="6"/>
      <c r="J52" s="6"/>
      <c r="K52" s="21" t="s">
        <v>52</v>
      </c>
      <c r="L52" s="275">
        <f>P30</f>
        <v>15.875</v>
      </c>
      <c r="M52" s="275"/>
      <c r="N52" s="6" t="s">
        <v>71</v>
      </c>
      <c r="O52" s="6"/>
      <c r="P52" s="6"/>
      <c r="Q52" s="98" t="s">
        <v>377</v>
      </c>
      <c r="R52" s="336">
        <v>12.7</v>
      </c>
      <c r="S52" s="336"/>
      <c r="T52" s="99" t="s">
        <v>380</v>
      </c>
      <c r="U52" s="334">
        <f>(O35-2*R52)/3+2*U53</f>
        <v>105.83333333333333</v>
      </c>
      <c r="V52" s="335"/>
      <c r="W52" s="338">
        <v>25.4</v>
      </c>
      <c r="X52" s="336"/>
      <c r="Y52" s="99" t="s">
        <v>380</v>
      </c>
      <c r="Z52" s="334">
        <f>(O35-2*W52)/3+2*U53</f>
        <v>97.36666666666666</v>
      </c>
      <c r="AA52" s="335"/>
      <c r="AB52" s="3" t="s">
        <v>52</v>
      </c>
      <c r="AC52" s="293">
        <f>L52^3/12</f>
        <v>333.3956705729167</v>
      </c>
      <c r="AD52" s="293"/>
      <c r="AE52" s="293"/>
      <c r="AF52" s="2" t="s">
        <v>72</v>
      </c>
    </row>
    <row r="53" spans="1:32" ht="9.75" customHeight="1">
      <c r="A53" s="1"/>
      <c r="B53" s="1"/>
      <c r="C53" s="1"/>
      <c r="E53" s="7" t="s">
        <v>73</v>
      </c>
      <c r="F53" s="6"/>
      <c r="G53" s="6" t="s">
        <v>52</v>
      </c>
      <c r="H53" s="6" t="s">
        <v>74</v>
      </c>
      <c r="I53" s="6"/>
      <c r="J53" s="6"/>
      <c r="K53" s="21" t="s">
        <v>52</v>
      </c>
      <c r="L53" s="275">
        <f>E24</f>
        <v>25.4</v>
      </c>
      <c r="M53" s="275"/>
      <c r="N53" s="6" t="s">
        <v>71</v>
      </c>
      <c r="O53" s="6"/>
      <c r="P53" s="1"/>
      <c r="Q53" s="150" t="s">
        <v>527</v>
      </c>
      <c r="R53" s="114"/>
      <c r="S53" s="114"/>
      <c r="T53" s="114"/>
      <c r="U53" s="346">
        <v>0</v>
      </c>
      <c r="V53" s="346"/>
      <c r="W53" s="114" t="s">
        <v>104</v>
      </c>
      <c r="X53" s="114"/>
      <c r="Y53" s="114"/>
      <c r="Z53" s="114"/>
      <c r="AA53" s="115"/>
      <c r="AB53" s="3" t="s">
        <v>52</v>
      </c>
      <c r="AC53" s="293">
        <f>L53^3/12</f>
        <v>1365.5886666666665</v>
      </c>
      <c r="AD53" s="293"/>
      <c r="AE53" s="293"/>
      <c r="AF53" s="2" t="s">
        <v>72</v>
      </c>
    </row>
    <row r="54" spans="1:27" ht="9.75" customHeight="1">
      <c r="A54" s="6"/>
      <c r="B54" s="6"/>
      <c r="C54" s="6"/>
      <c r="D54" s="7" t="s">
        <v>75</v>
      </c>
      <c r="P54" s="6"/>
      <c r="Q54" s="111" t="s">
        <v>378</v>
      </c>
      <c r="R54" s="324">
        <f>R51-2*U53</f>
        <v>12.7</v>
      </c>
      <c r="S54" s="324"/>
      <c r="T54" s="49"/>
      <c r="U54" s="49"/>
      <c r="V54" s="49"/>
      <c r="W54" s="347">
        <f>W51-2*U53</f>
        <v>31.8</v>
      </c>
      <c r="X54" s="324"/>
      <c r="Y54" s="49"/>
      <c r="Z54" s="49"/>
      <c r="AA54" s="77"/>
    </row>
    <row r="55" spans="1:31" ht="9.75" customHeight="1">
      <c r="A55" s="6"/>
      <c r="B55" s="6"/>
      <c r="C55" s="6"/>
      <c r="D55" s="6"/>
      <c r="E55" s="24" t="s">
        <v>76</v>
      </c>
      <c r="F55" s="1"/>
      <c r="G55" s="1" t="s">
        <v>52</v>
      </c>
      <c r="H55" s="1" t="s">
        <v>77</v>
      </c>
      <c r="I55" s="1"/>
      <c r="J55" s="1"/>
      <c r="K55" s="21" t="s">
        <v>52</v>
      </c>
      <c r="L55" s="273">
        <f>H24</f>
        <v>152.39999999999998</v>
      </c>
      <c r="M55" s="275"/>
      <c r="N55" s="21" t="s">
        <v>78</v>
      </c>
      <c r="O55" s="273">
        <f>P35</f>
        <v>342.9</v>
      </c>
      <c r="P55" s="275"/>
      <c r="Q55" s="112" t="s">
        <v>377</v>
      </c>
      <c r="R55" s="290">
        <f>R52-2*U53</f>
        <v>12.7</v>
      </c>
      <c r="S55" s="290"/>
      <c r="T55" s="60"/>
      <c r="U55" s="60"/>
      <c r="V55" s="60"/>
      <c r="W55" s="339">
        <f>W52-2*U53</f>
        <v>25.4</v>
      </c>
      <c r="X55" s="290"/>
      <c r="Y55" s="60"/>
      <c r="Z55" s="60"/>
      <c r="AA55" s="113"/>
      <c r="AB55" s="2" t="s">
        <v>52</v>
      </c>
      <c r="AC55" s="285">
        <f>L55/O55</f>
        <v>0.4444444444444444</v>
      </c>
      <c r="AD55" s="285"/>
      <c r="AE55" s="285"/>
    </row>
    <row r="56" spans="1:29" ht="9.75" customHeight="1">
      <c r="A56" s="1"/>
      <c r="B56" s="1"/>
      <c r="C56" s="1"/>
      <c r="D56" s="9" t="s">
        <v>79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</row>
    <row r="57" spans="1:31" ht="9.75" customHeight="1">
      <c r="A57" s="6"/>
      <c r="B57" s="6"/>
      <c r="C57" s="6"/>
      <c r="D57" s="6"/>
      <c r="E57" s="7" t="s">
        <v>80</v>
      </c>
      <c r="F57" s="6"/>
      <c r="G57" s="6" t="s">
        <v>52</v>
      </c>
      <c r="H57" s="6" t="s">
        <v>81</v>
      </c>
      <c r="I57" s="6"/>
      <c r="J57" s="6"/>
      <c r="K57" s="21" t="s">
        <v>52</v>
      </c>
      <c r="L57" s="273">
        <f>AC53</f>
        <v>1365.5886666666665</v>
      </c>
      <c r="M57" s="273"/>
      <c r="N57" s="21" t="s">
        <v>78</v>
      </c>
      <c r="O57" s="273">
        <f>AC52</f>
        <v>333.3956705729167</v>
      </c>
      <c r="P57" s="273"/>
      <c r="Q57" s="21" t="s">
        <v>21</v>
      </c>
      <c r="R57" s="274">
        <f>AC55</f>
        <v>0.4444444444444444</v>
      </c>
      <c r="S57" s="275"/>
      <c r="T57" s="6"/>
      <c r="U57" s="6"/>
      <c r="V57" s="3"/>
      <c r="W57" s="3"/>
      <c r="X57" s="3"/>
      <c r="Y57" s="3"/>
      <c r="Z57" s="3"/>
      <c r="AA57" s="3"/>
      <c r="AB57" s="3" t="s">
        <v>52</v>
      </c>
      <c r="AC57" s="285">
        <f>L57/O57*R57</f>
        <v>1.820444444444444</v>
      </c>
      <c r="AD57" s="285"/>
      <c r="AE57" s="285"/>
    </row>
    <row r="58" spans="1:29" ht="9.75" customHeight="1">
      <c r="A58" s="6"/>
      <c r="B58" s="6"/>
      <c r="C58" s="6"/>
      <c r="D58" s="7" t="s">
        <v>82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  <c r="AC58" s="3"/>
    </row>
    <row r="59" spans="1:29" ht="9.75" customHeight="1">
      <c r="A59" s="1"/>
      <c r="B59" s="1"/>
      <c r="C59" s="1"/>
      <c r="D59" s="1"/>
      <c r="E59" s="9" t="s">
        <v>108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3"/>
    </row>
    <row r="60" spans="1:32" ht="9.75" customHeight="1">
      <c r="A60" s="1"/>
      <c r="B60" s="1"/>
      <c r="C60" s="1"/>
      <c r="D60" s="1"/>
      <c r="E60" s="1"/>
      <c r="F60" s="64" t="s">
        <v>739</v>
      </c>
      <c r="G60" s="63"/>
      <c r="H60" s="65" t="s">
        <v>52</v>
      </c>
      <c r="I60" s="120" t="s">
        <v>61</v>
      </c>
      <c r="J60" s="63" t="s">
        <v>84</v>
      </c>
      <c r="K60" s="63"/>
      <c r="L60" s="65"/>
      <c r="M60" s="65" t="s">
        <v>52</v>
      </c>
      <c r="N60" s="345">
        <f>P30/2</f>
        <v>7.9375</v>
      </c>
      <c r="O60" s="345"/>
      <c r="P60" s="345"/>
      <c r="Q60" s="63" t="s">
        <v>104</v>
      </c>
      <c r="R60" s="63"/>
      <c r="S60" s="63"/>
      <c r="T60" s="63"/>
      <c r="U60" s="68" t="s">
        <v>740</v>
      </c>
      <c r="V60" s="43"/>
      <c r="W60" s="44" t="s">
        <v>52</v>
      </c>
      <c r="X60" s="45" t="s">
        <v>83</v>
      </c>
      <c r="Y60" s="43" t="s">
        <v>84</v>
      </c>
      <c r="Z60" s="43"/>
      <c r="AA60" s="63"/>
      <c r="AB60" s="44" t="s">
        <v>52</v>
      </c>
      <c r="AC60" s="282">
        <f>-P30/2</f>
        <v>-7.9375</v>
      </c>
      <c r="AD60" s="282"/>
      <c r="AE60" s="282"/>
      <c r="AF60" s="43" t="s">
        <v>104</v>
      </c>
    </row>
    <row r="61" spans="1:29" ht="9.75" customHeight="1">
      <c r="A61" s="1"/>
      <c r="B61" s="1"/>
      <c r="C61" s="1"/>
      <c r="D61" s="1"/>
      <c r="E61" s="9" t="s">
        <v>109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AC61" s="3"/>
    </row>
    <row r="62" spans="1:32" ht="9.75" customHeight="1">
      <c r="A62" s="6"/>
      <c r="B62" s="6"/>
      <c r="C62" s="6"/>
      <c r="D62" s="6"/>
      <c r="E62" s="6"/>
      <c r="F62" s="128" t="s">
        <v>741</v>
      </c>
      <c r="G62" s="65"/>
      <c r="H62" s="65" t="s">
        <v>52</v>
      </c>
      <c r="I62" s="120" t="s">
        <v>61</v>
      </c>
      <c r="J62" s="65" t="s">
        <v>85</v>
      </c>
      <c r="K62" s="65"/>
      <c r="L62" s="65"/>
      <c r="M62" s="65" t="s">
        <v>52</v>
      </c>
      <c r="N62" s="345">
        <f>E24/2</f>
        <v>12.7</v>
      </c>
      <c r="O62" s="345"/>
      <c r="P62" s="345"/>
      <c r="Q62" s="63" t="s">
        <v>104</v>
      </c>
      <c r="R62" s="65"/>
      <c r="S62" s="65"/>
      <c r="T62" s="65"/>
      <c r="U62" s="129" t="s">
        <v>742</v>
      </c>
      <c r="V62" s="44"/>
      <c r="W62" s="44" t="s">
        <v>52</v>
      </c>
      <c r="X62" s="45" t="s">
        <v>83</v>
      </c>
      <c r="Y62" s="44" t="s">
        <v>86</v>
      </c>
      <c r="Z62" s="44"/>
      <c r="AA62" s="65"/>
      <c r="AB62" s="46" t="s">
        <v>52</v>
      </c>
      <c r="AC62" s="281">
        <f>-E24/2</f>
        <v>-12.7</v>
      </c>
      <c r="AD62" s="282"/>
      <c r="AE62" s="282"/>
      <c r="AF62" s="43" t="s">
        <v>104</v>
      </c>
    </row>
    <row r="63" spans="1:27" ht="9.75" customHeight="1">
      <c r="A63" s="6"/>
      <c r="B63" s="6"/>
      <c r="C63" s="6"/>
      <c r="D63" s="6"/>
      <c r="E63" s="6"/>
      <c r="L63" s="46"/>
      <c r="M63" s="46"/>
      <c r="N63" s="46"/>
      <c r="O63" s="46"/>
      <c r="P63" s="46"/>
      <c r="Q63" s="46"/>
      <c r="R63" s="46"/>
      <c r="S63" s="46"/>
      <c r="T63" s="46"/>
      <c r="U63" s="44"/>
      <c r="V63" s="44"/>
      <c r="W63" s="44"/>
      <c r="X63" s="46"/>
      <c r="Y63" s="46"/>
      <c r="Z63" s="46"/>
      <c r="AA63" s="46"/>
    </row>
    <row r="64" spans="1:29" ht="9.75" customHeight="1">
      <c r="A64" s="6"/>
      <c r="B64" s="6"/>
      <c r="C64" s="12" t="s">
        <v>214</v>
      </c>
      <c r="D64" s="9" t="s">
        <v>559</v>
      </c>
      <c r="E64" s="6"/>
      <c r="F64" s="6"/>
      <c r="G64" s="6"/>
      <c r="H64" s="6"/>
      <c r="I64" s="6"/>
      <c r="J64" s="6"/>
      <c r="K64" s="6"/>
      <c r="L64" s="127"/>
      <c r="M64" s="127"/>
      <c r="N64" s="127"/>
      <c r="O64" s="127"/>
      <c r="P64" s="127"/>
      <c r="Q64" s="127"/>
      <c r="R64" s="127"/>
      <c r="S64" s="127"/>
      <c r="T64" s="189"/>
      <c r="U64" s="245" t="s">
        <v>565</v>
      </c>
      <c r="V64" s="243"/>
      <c r="W64" s="246"/>
      <c r="X64" s="126"/>
      <c r="Y64" s="127"/>
      <c r="Z64" s="189"/>
      <c r="AA64" s="245" t="s">
        <v>566</v>
      </c>
      <c r="AB64" s="243"/>
      <c r="AC64" s="246"/>
    </row>
    <row r="65" spans="1:29" ht="9.75" customHeight="1">
      <c r="A65" s="6"/>
      <c r="B65" s="6"/>
      <c r="C65" s="6"/>
      <c r="D65" s="90"/>
      <c r="E65" s="23"/>
      <c r="F65" s="23"/>
      <c r="G65" s="23"/>
      <c r="H65" s="23"/>
      <c r="I65" s="245" t="s">
        <v>560</v>
      </c>
      <c r="J65" s="243"/>
      <c r="K65" s="246"/>
      <c r="L65" s="243" t="s">
        <v>561</v>
      </c>
      <c r="M65" s="243"/>
      <c r="N65" s="243"/>
      <c r="O65" s="243"/>
      <c r="P65" s="243"/>
      <c r="Q65" s="243"/>
      <c r="R65" s="245" t="s">
        <v>584</v>
      </c>
      <c r="S65" s="243"/>
      <c r="T65" s="246"/>
      <c r="U65" s="268" t="s">
        <v>562</v>
      </c>
      <c r="V65" s="269"/>
      <c r="W65" s="269"/>
      <c r="X65" s="272" t="s">
        <v>563</v>
      </c>
      <c r="Y65" s="272"/>
      <c r="Z65" s="272"/>
      <c r="AA65" s="288" t="s">
        <v>564</v>
      </c>
      <c r="AB65" s="288"/>
      <c r="AC65" s="289"/>
    </row>
    <row r="66" spans="1:29" ht="9.75" customHeight="1">
      <c r="A66" s="6"/>
      <c r="B66" s="6"/>
      <c r="C66" s="6"/>
      <c r="D66" s="146" t="s">
        <v>569</v>
      </c>
      <c r="E66" s="23"/>
      <c r="F66" s="23"/>
      <c r="G66" s="23"/>
      <c r="H66" s="23"/>
      <c r="I66" s="262" t="str">
        <f>maxynu</f>
        <v>OK !</v>
      </c>
      <c r="J66" s="263"/>
      <c r="K66" s="264"/>
      <c r="L66" s="227" t="str">
        <f>maxsecu</f>
        <v>Long Side Plate</v>
      </c>
      <c r="M66" s="227"/>
      <c r="N66" s="227"/>
      <c r="O66" s="227"/>
      <c r="P66" s="227"/>
      <c r="Q66" s="227"/>
      <c r="R66" s="230" t="str">
        <f>maxpu</f>
        <v>M</v>
      </c>
      <c r="S66" s="227"/>
      <c r="T66" s="231"/>
      <c r="U66" s="270">
        <f>maxsau</f>
        <v>-18354.1408958399</v>
      </c>
      <c r="V66" s="271"/>
      <c r="W66" s="271"/>
      <c r="X66" s="271">
        <f>maxsu</f>
        <v>28200</v>
      </c>
      <c r="Y66" s="271"/>
      <c r="Z66" s="271"/>
      <c r="AA66" s="260">
        <f>maxru</f>
        <v>0.6508560601361667</v>
      </c>
      <c r="AB66" s="260"/>
      <c r="AC66" s="261"/>
    </row>
    <row r="67" spans="1:29" ht="9.75" customHeight="1">
      <c r="A67" s="6"/>
      <c r="B67" s="6"/>
      <c r="C67" s="6"/>
      <c r="D67" s="190" t="s">
        <v>752</v>
      </c>
      <c r="E67" s="23"/>
      <c r="F67" s="23"/>
      <c r="G67" s="23"/>
      <c r="H67" s="23"/>
      <c r="I67" s="262" t="str">
        <f>IF(L11&gt;=0,"***",IF(AND(O67="OK !",S67="OK !",W67="OK !",AA67="OK !"),"OK !","NO !"))</f>
        <v>OK !</v>
      </c>
      <c r="J67" s="263"/>
      <c r="K67" s="264"/>
      <c r="L67" s="191" t="s">
        <v>753</v>
      </c>
      <c r="M67" s="148"/>
      <c r="N67" s="148"/>
      <c r="O67" s="340" t="str">
        <f>IF(L11&gt;=0,"***",oksp)</f>
        <v>OK !</v>
      </c>
      <c r="P67" s="340"/>
      <c r="Q67" s="148" t="s">
        <v>755</v>
      </c>
      <c r="R67" s="148"/>
      <c r="S67" s="340" t="str">
        <f>IF(L11&gt;=0,"***",oklp)</f>
        <v>OK !</v>
      </c>
      <c r="T67" s="340"/>
      <c r="U67" s="148" t="s">
        <v>756</v>
      </c>
      <c r="V67" s="148"/>
      <c r="W67" s="340" t="str">
        <f>IF(L11&gt;=0,"***",okep)</f>
        <v>OK !</v>
      </c>
      <c r="X67" s="340"/>
      <c r="Y67" s="148" t="s">
        <v>754</v>
      </c>
      <c r="Z67" s="148"/>
      <c r="AA67" s="340" t="str">
        <f>IF(L11&gt;=0,"***",okcolumn)</f>
        <v>OK !</v>
      </c>
      <c r="AB67" s="340"/>
      <c r="AC67" s="192"/>
    </row>
    <row r="68" spans="1:29" ht="9.75" customHeight="1">
      <c r="A68" s="6"/>
      <c r="B68" s="6"/>
      <c r="C68" s="6"/>
      <c r="D68" s="146" t="s">
        <v>570</v>
      </c>
      <c r="E68" s="23"/>
      <c r="F68" s="23"/>
      <c r="G68" s="23"/>
      <c r="H68" s="23"/>
      <c r="I68" s="262" t="str">
        <f>maxynt22</f>
        <v>OK !</v>
      </c>
      <c r="J68" s="263"/>
      <c r="K68" s="264"/>
      <c r="L68" s="227" t="str">
        <f>maxsect22</f>
        <v>Short Side Plate</v>
      </c>
      <c r="M68" s="227"/>
      <c r="N68" s="227"/>
      <c r="O68" s="227"/>
      <c r="P68" s="227"/>
      <c r="Q68" s="227"/>
      <c r="R68" s="230" t="str">
        <f>maxpt22</f>
        <v>Q1</v>
      </c>
      <c r="S68" s="227"/>
      <c r="T68" s="231"/>
      <c r="U68" s="270">
        <f>maxsat22</f>
        <v>-17327.62186153773</v>
      </c>
      <c r="V68" s="271"/>
      <c r="W68" s="271"/>
      <c r="X68" s="271">
        <f>maxst22</f>
        <v>28200</v>
      </c>
      <c r="Y68" s="271"/>
      <c r="Z68" s="271"/>
      <c r="AA68" s="260">
        <f>maxrt22</f>
        <v>0.6144546759410542</v>
      </c>
      <c r="AB68" s="260"/>
      <c r="AC68" s="261"/>
    </row>
    <row r="69" spans="1:29" ht="9.75" customHeight="1">
      <c r="A69" s="6"/>
      <c r="B69" s="6"/>
      <c r="C69" s="6"/>
      <c r="D69" s="147" t="s">
        <v>571</v>
      </c>
      <c r="E69" s="148"/>
      <c r="F69" s="148"/>
      <c r="G69" s="148"/>
      <c r="H69" s="148"/>
      <c r="I69" s="265" t="str">
        <f>maxynstf</f>
        <v>OK !</v>
      </c>
      <c r="J69" s="266"/>
      <c r="K69" s="267"/>
      <c r="L69" s="228" t="str">
        <f>maxsecstf</f>
        <v>Long Side Plate</v>
      </c>
      <c r="M69" s="228"/>
      <c r="N69" s="228"/>
      <c r="O69" s="228"/>
      <c r="P69" s="228"/>
      <c r="Q69" s="228"/>
      <c r="R69" s="247" t="str">
        <f>maxpstf</f>
        <v>M</v>
      </c>
      <c r="S69" s="228"/>
      <c r="T69" s="248"/>
      <c r="U69" s="244">
        <f>maxsastf</f>
        <v>-2278.010765627122</v>
      </c>
      <c r="V69" s="235"/>
      <c r="W69" s="235"/>
      <c r="X69" s="235">
        <f>maxsstf</f>
        <v>24000</v>
      </c>
      <c r="Y69" s="235"/>
      <c r="Z69" s="235"/>
      <c r="AA69" s="236">
        <f>maxrstf</f>
        <v>0.09491711523446342</v>
      </c>
      <c r="AB69" s="236"/>
      <c r="AC69" s="237"/>
    </row>
    <row r="70" spans="1:29" ht="9.75" customHeight="1">
      <c r="A70" s="6"/>
      <c r="B70" s="6"/>
      <c r="C70" s="6"/>
      <c r="D70" s="138" t="s">
        <v>572</v>
      </c>
      <c r="E70" s="48"/>
      <c r="F70" s="48"/>
      <c r="G70" s="48"/>
      <c r="H70" s="48"/>
      <c r="I70" s="251" t="str">
        <f>maxyn1sp</f>
        <v>OK !</v>
      </c>
      <c r="J70" s="252"/>
      <c r="K70" s="253"/>
      <c r="L70" s="229" t="str">
        <f>maxsec1sp</f>
        <v>Short Side Plate</v>
      </c>
      <c r="M70" s="229"/>
      <c r="N70" s="229"/>
      <c r="O70" s="229"/>
      <c r="P70" s="229"/>
      <c r="Q70" s="229"/>
      <c r="R70" s="249" t="str">
        <f>maxp1sp</f>
        <v>N</v>
      </c>
      <c r="S70" s="229"/>
      <c r="T70" s="250"/>
      <c r="U70" s="241">
        <f>maxsa1sp</f>
        <v>-7686.0225431010995</v>
      </c>
      <c r="V70" s="238"/>
      <c r="W70" s="238"/>
      <c r="X70" s="238">
        <f>maxs1sp</f>
        <v>28200</v>
      </c>
      <c r="Y70" s="238"/>
      <c r="Z70" s="238"/>
      <c r="AA70" s="239">
        <f>maxr1sp</f>
        <v>0.2725539908901099</v>
      </c>
      <c r="AB70" s="239"/>
      <c r="AC70" s="240"/>
    </row>
    <row r="71" spans="1:29" ht="9.75" customHeight="1">
      <c r="A71" s="6"/>
      <c r="B71" s="6"/>
      <c r="C71" s="6"/>
      <c r="D71" s="137" t="s">
        <v>573</v>
      </c>
      <c r="E71" s="60"/>
      <c r="F71" s="60"/>
      <c r="G71" s="60"/>
      <c r="H71" s="60"/>
      <c r="I71" s="254" t="str">
        <f>maxyn2sp</f>
        <v>OK !</v>
      </c>
      <c r="J71" s="255"/>
      <c r="K71" s="256"/>
      <c r="L71" s="197" t="str">
        <f>maxsec2sp</f>
        <v>Short Side Plate</v>
      </c>
      <c r="M71" s="197"/>
      <c r="N71" s="197"/>
      <c r="O71" s="197"/>
      <c r="P71" s="197"/>
      <c r="Q71" s="197"/>
      <c r="R71" s="204" t="str">
        <f>maxp2sp</f>
        <v>N</v>
      </c>
      <c r="S71" s="197"/>
      <c r="T71" s="198"/>
      <c r="U71" s="196">
        <f>maxsa2sp</f>
        <v>-8833.718664772303</v>
      </c>
      <c r="V71" s="224"/>
      <c r="W71" s="224"/>
      <c r="X71" s="224">
        <f>maxs2sp</f>
        <v>28200</v>
      </c>
      <c r="Y71" s="224"/>
      <c r="Z71" s="224"/>
      <c r="AA71" s="225">
        <f>maxr2sp</f>
        <v>0.31325243492100363</v>
      </c>
      <c r="AB71" s="225"/>
      <c r="AC71" s="226"/>
    </row>
    <row r="72" spans="1:29" ht="9.75" customHeight="1">
      <c r="A72" s="6"/>
      <c r="B72" s="6"/>
      <c r="C72" s="6"/>
      <c r="D72" s="145" t="s">
        <v>574</v>
      </c>
      <c r="E72" s="65"/>
      <c r="F72" s="65"/>
      <c r="G72" s="65"/>
      <c r="H72" s="65"/>
      <c r="I72" s="257" t="str">
        <f>maxyn1sb</f>
        <v>OK !</v>
      </c>
      <c r="J72" s="258"/>
      <c r="K72" s="259"/>
      <c r="L72" s="194" t="str">
        <f>maxsec1sb</f>
        <v>Stay Plate</v>
      </c>
      <c r="M72" s="194"/>
      <c r="N72" s="194"/>
      <c r="O72" s="194"/>
      <c r="P72" s="194"/>
      <c r="Q72" s="194"/>
      <c r="R72" s="193" t="str">
        <f>maxp1sb</f>
        <v>*</v>
      </c>
      <c r="S72" s="194"/>
      <c r="T72" s="195"/>
      <c r="U72" s="242">
        <f>maxsa1sb</f>
        <v>-7945.442300979381</v>
      </c>
      <c r="V72" s="232"/>
      <c r="W72" s="232"/>
      <c r="X72" s="232">
        <f>maxs1sb</f>
        <v>16600</v>
      </c>
      <c r="Y72" s="232"/>
      <c r="Z72" s="232"/>
      <c r="AA72" s="233">
        <f>maxr1sb</f>
        <v>0.4786411024686374</v>
      </c>
      <c r="AB72" s="233"/>
      <c r="AC72" s="234"/>
    </row>
    <row r="73" spans="1:29" ht="9.75" customHeight="1">
      <c r="A73" s="6"/>
      <c r="B73" s="6"/>
      <c r="C73" s="6"/>
      <c r="D73" s="137" t="s">
        <v>575</v>
      </c>
      <c r="E73" s="60"/>
      <c r="F73" s="60"/>
      <c r="G73" s="60"/>
      <c r="H73" s="60"/>
      <c r="I73" s="254" t="str">
        <f>maxyn2sb</f>
        <v>OK !</v>
      </c>
      <c r="J73" s="255"/>
      <c r="K73" s="256"/>
      <c r="L73" s="197" t="str">
        <f>maxsec2sb</f>
        <v>Stay Plate</v>
      </c>
      <c r="M73" s="197"/>
      <c r="N73" s="197"/>
      <c r="O73" s="197"/>
      <c r="P73" s="197"/>
      <c r="Q73" s="197"/>
      <c r="R73" s="204" t="str">
        <f>maxp2sb</f>
        <v>*</v>
      </c>
      <c r="S73" s="197"/>
      <c r="T73" s="198"/>
      <c r="U73" s="196">
        <f>maxsa2sb</f>
        <v>-7141.952064475512</v>
      </c>
      <c r="V73" s="224"/>
      <c r="W73" s="224"/>
      <c r="X73" s="224">
        <f>maxs2sb</f>
        <v>16600</v>
      </c>
      <c r="Y73" s="224"/>
      <c r="Z73" s="224"/>
      <c r="AA73" s="225">
        <f>maxr2sb</f>
        <v>0.4302380761732236</v>
      </c>
      <c r="AB73" s="225"/>
      <c r="AC73" s="226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4" t="s">
        <v>19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5" t="s">
        <v>20</v>
      </c>
    </row>
    <row r="117" ht="13.5" customHeight="1"/>
    <row r="118" ht="13.5" customHeight="1"/>
  </sheetData>
  <mergeCells count="174">
    <mergeCell ref="AC7:AG7"/>
    <mergeCell ref="W67:X67"/>
    <mergeCell ref="W47:Y47"/>
    <mergeCell ref="U52:V52"/>
    <mergeCell ref="W54:X54"/>
    <mergeCell ref="AA67:AB67"/>
    <mergeCell ref="X35:X38"/>
    <mergeCell ref="T36:U37"/>
    <mergeCell ref="U15:V15"/>
    <mergeCell ref="U16:V16"/>
    <mergeCell ref="L55:M55"/>
    <mergeCell ref="O55:P55"/>
    <mergeCell ref="N62:P62"/>
    <mergeCell ref="U51:V51"/>
    <mergeCell ref="L52:M52"/>
    <mergeCell ref="N60:P60"/>
    <mergeCell ref="U53:V53"/>
    <mergeCell ref="L53:M53"/>
    <mergeCell ref="J47:K47"/>
    <mergeCell ref="O67:P67"/>
    <mergeCell ref="S67:T67"/>
    <mergeCell ref="L19:N19"/>
    <mergeCell ref="N32:N35"/>
    <mergeCell ref="O35:O38"/>
    <mergeCell ref="P35:P38"/>
    <mergeCell ref="Q35:Q38"/>
    <mergeCell ref="Q23:R23"/>
    <mergeCell ref="O23:P23"/>
    <mergeCell ref="J48:K48"/>
    <mergeCell ref="M48:N48"/>
    <mergeCell ref="I67:K67"/>
    <mergeCell ref="Z51:AA51"/>
    <mergeCell ref="Z52:AA52"/>
    <mergeCell ref="R52:S52"/>
    <mergeCell ref="W51:X51"/>
    <mergeCell ref="W52:X52"/>
    <mergeCell ref="R51:S51"/>
    <mergeCell ref="W55:X55"/>
    <mergeCell ref="U22:V22"/>
    <mergeCell ref="U17:V17"/>
    <mergeCell ref="U23:V23"/>
    <mergeCell ref="U31:U35"/>
    <mergeCell ref="J14:K14"/>
    <mergeCell ref="L14:M14"/>
    <mergeCell ref="N14:O14"/>
    <mergeCell ref="P14:Q14"/>
    <mergeCell ref="J13:K13"/>
    <mergeCell ref="L13:M13"/>
    <mergeCell ref="N13:O13"/>
    <mergeCell ref="P13:Q13"/>
    <mergeCell ref="E24:F24"/>
    <mergeCell ref="K24:L24"/>
    <mergeCell ref="P30:Q30"/>
    <mergeCell ref="R54:S54"/>
    <mergeCell ref="R24:S24"/>
    <mergeCell ref="G37:H37"/>
    <mergeCell ref="S36:S37"/>
    <mergeCell ref="E26:E27"/>
    <mergeCell ref="S47:U47"/>
    <mergeCell ref="S49:U49"/>
    <mergeCell ref="AC19:AD19"/>
    <mergeCell ref="O19:V19"/>
    <mergeCell ref="AC21:AD21"/>
    <mergeCell ref="Z20:AA20"/>
    <mergeCell ref="Z21:AA21"/>
    <mergeCell ref="AC20:AD20"/>
    <mergeCell ref="AC6:AG6"/>
    <mergeCell ref="A1:AH3"/>
    <mergeCell ref="AC4:AG4"/>
    <mergeCell ref="AC5:AD5"/>
    <mergeCell ref="AF5:AG5"/>
    <mergeCell ref="H24:I24"/>
    <mergeCell ref="L26:L27"/>
    <mergeCell ref="N38:N41"/>
    <mergeCell ref="O39:O40"/>
    <mergeCell ref="N30:O30"/>
    <mergeCell ref="N43:O43"/>
    <mergeCell ref="P43:Q43"/>
    <mergeCell ref="X40:X42"/>
    <mergeCell ref="X39:Y39"/>
    <mergeCell ref="U38:U42"/>
    <mergeCell ref="Z10:AG10"/>
    <mergeCell ref="AC14:AE14"/>
    <mergeCell ref="AC13:AE13"/>
    <mergeCell ref="Z18:AA18"/>
    <mergeCell ref="AB18:AC18"/>
    <mergeCell ref="AD18:AE18"/>
    <mergeCell ref="Z17:AA17"/>
    <mergeCell ref="AB17:AC17"/>
    <mergeCell ref="AD17:AE17"/>
    <mergeCell ref="AF18:AG18"/>
    <mergeCell ref="D25:F25"/>
    <mergeCell ref="AF17:AG17"/>
    <mergeCell ref="G23:J23"/>
    <mergeCell ref="H25:I25"/>
    <mergeCell ref="K25:M25"/>
    <mergeCell ref="S23:T23"/>
    <mergeCell ref="O22:P22"/>
    <mergeCell ref="Q22:R22"/>
    <mergeCell ref="S22:T22"/>
    <mergeCell ref="L11:N11"/>
    <mergeCell ref="L12:N12"/>
    <mergeCell ref="L15:N15"/>
    <mergeCell ref="L18:N18"/>
    <mergeCell ref="AA65:AC65"/>
    <mergeCell ref="S50:U50"/>
    <mergeCell ref="R55:S55"/>
    <mergeCell ref="X34:Y34"/>
    <mergeCell ref="AB49:AC49"/>
    <mergeCell ref="AC52:AE52"/>
    <mergeCell ref="AC53:AE53"/>
    <mergeCell ref="W36:W37"/>
    <mergeCell ref="X31:X33"/>
    <mergeCell ref="W49:Y49"/>
    <mergeCell ref="W50:Y50"/>
    <mergeCell ref="AC62:AE62"/>
    <mergeCell ref="AC60:AE60"/>
    <mergeCell ref="AE49:AF49"/>
    <mergeCell ref="AB50:AC50"/>
    <mergeCell ref="AC57:AE57"/>
    <mergeCell ref="AE50:AF50"/>
    <mergeCell ref="AC55:AE55"/>
    <mergeCell ref="I66:K66"/>
    <mergeCell ref="X65:Z65"/>
    <mergeCell ref="L57:M57"/>
    <mergeCell ref="O57:P57"/>
    <mergeCell ref="R57:S57"/>
    <mergeCell ref="U64:W64"/>
    <mergeCell ref="X66:Z66"/>
    <mergeCell ref="AA66:AC66"/>
    <mergeCell ref="AA64:AC64"/>
    <mergeCell ref="I68:K68"/>
    <mergeCell ref="I69:K69"/>
    <mergeCell ref="I65:K65"/>
    <mergeCell ref="U65:W65"/>
    <mergeCell ref="U66:W66"/>
    <mergeCell ref="U68:W68"/>
    <mergeCell ref="X68:Z68"/>
    <mergeCell ref="AA68:AC68"/>
    <mergeCell ref="I70:K70"/>
    <mergeCell ref="I71:K71"/>
    <mergeCell ref="I72:K72"/>
    <mergeCell ref="I73:K73"/>
    <mergeCell ref="U70:W70"/>
    <mergeCell ref="U72:W72"/>
    <mergeCell ref="L65:Q65"/>
    <mergeCell ref="L66:Q66"/>
    <mergeCell ref="U69:W69"/>
    <mergeCell ref="U71:W71"/>
    <mergeCell ref="R65:T65"/>
    <mergeCell ref="R66:T66"/>
    <mergeCell ref="R69:T69"/>
    <mergeCell ref="R70:T70"/>
    <mergeCell ref="AA71:AC71"/>
    <mergeCell ref="X72:Z72"/>
    <mergeCell ref="AA72:AC72"/>
    <mergeCell ref="X69:Z69"/>
    <mergeCell ref="AA69:AC69"/>
    <mergeCell ref="X70:Z70"/>
    <mergeCell ref="AA70:AC70"/>
    <mergeCell ref="X73:Z73"/>
    <mergeCell ref="AA73:AC73"/>
    <mergeCell ref="L68:Q68"/>
    <mergeCell ref="L69:Q69"/>
    <mergeCell ref="L70:Q70"/>
    <mergeCell ref="L71:Q71"/>
    <mergeCell ref="L72:Q72"/>
    <mergeCell ref="L73:Q73"/>
    <mergeCell ref="R68:T68"/>
    <mergeCell ref="X71:Z71"/>
    <mergeCell ref="R71:T71"/>
    <mergeCell ref="R72:T72"/>
    <mergeCell ref="R73:T73"/>
    <mergeCell ref="U73:W7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X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8</v>
      </c>
      <c r="C6" s="6"/>
      <c r="D6" s="6"/>
      <c r="E6" s="7" t="str">
        <f>project</f>
        <v>Programming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0</v>
      </c>
      <c r="AA6" s="3"/>
      <c r="AB6" s="3"/>
      <c r="AC6" s="377" t="str">
        <f>docno</f>
        <v>SC - RPV - 100</v>
      </c>
      <c r="AD6" s="377"/>
      <c r="AE6" s="377"/>
      <c r="AF6" s="377"/>
      <c r="AG6" s="377"/>
      <c r="AH6" s="4"/>
    </row>
    <row r="7" spans="1:34" ht="9.75" customHeight="1">
      <c r="A7" s="6"/>
      <c r="B7" s="6" t="s">
        <v>9</v>
      </c>
      <c r="C7" s="6"/>
      <c r="D7" s="6"/>
      <c r="E7" s="7" t="str">
        <f>itemno</f>
        <v>13-17 Example, P430~1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1</v>
      </c>
      <c r="AA7" s="3"/>
      <c r="AB7" s="3"/>
      <c r="AC7" s="311">
        <v>2</v>
      </c>
      <c r="AD7" s="311"/>
      <c r="AE7" s="8" t="s">
        <v>2</v>
      </c>
      <c r="AF7" s="304" t="str">
        <f>sheetqty</f>
        <v>x</v>
      </c>
      <c r="AG7" s="304"/>
      <c r="AH7" s="4"/>
    </row>
    <row r="8" spans="1:34" ht="9.75" customHeight="1">
      <c r="A8" s="6"/>
      <c r="B8" s="6" t="s">
        <v>10</v>
      </c>
      <c r="C8" s="6"/>
      <c r="D8" s="6"/>
      <c r="E8" s="7" t="str">
        <f>service</f>
        <v>Rectangular Vessel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22</v>
      </c>
      <c r="AA8" s="3"/>
      <c r="AB8" s="3"/>
      <c r="AC8" s="377" t="str">
        <f>date</f>
        <v>2018.  2.  10.</v>
      </c>
      <c r="AD8" s="377"/>
      <c r="AE8" s="377"/>
      <c r="AF8" s="377"/>
      <c r="AG8" s="377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17</v>
      </c>
      <c r="AA9" s="3"/>
      <c r="AB9" s="3"/>
      <c r="AC9" s="377">
        <f>revno</f>
        <v>0</v>
      </c>
      <c r="AD9" s="377"/>
      <c r="AE9" s="377"/>
      <c r="AF9" s="377"/>
      <c r="AG9" s="377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67</v>
      </c>
      <c r="D11" s="9" t="s">
        <v>42</v>
      </c>
      <c r="E11" s="1"/>
      <c r="F11" s="1"/>
      <c r="G11" s="1"/>
      <c r="H11" s="1"/>
      <c r="I11" s="1"/>
      <c r="J11" s="1"/>
      <c r="K11" s="21" t="s">
        <v>180</v>
      </c>
      <c r="L11" s="28" t="s">
        <v>36</v>
      </c>
      <c r="M11" s="35" t="s">
        <v>52</v>
      </c>
      <c r="N11" s="28" t="s">
        <v>37</v>
      </c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7" t="s">
        <v>43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</row>
    <row r="15" spans="1:32" ht="9.75" customHeight="1">
      <c r="A15" s="1"/>
      <c r="B15" s="1"/>
      <c r="C15" s="1"/>
      <c r="D15" s="1"/>
      <c r="E15" s="27" t="s">
        <v>106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AC15" s="3"/>
      <c r="AD15" s="360" t="s">
        <v>103</v>
      </c>
      <c r="AE15" s="360"/>
      <c r="AF15" s="360"/>
    </row>
    <row r="16" spans="1:29" ht="9.75" customHeight="1">
      <c r="A16" s="6"/>
      <c r="B16" s="6"/>
      <c r="C16" s="6"/>
      <c r="D16" s="6"/>
      <c r="E16" s="6"/>
      <c r="F16" s="6"/>
      <c r="G16" s="6"/>
      <c r="N16" s="6"/>
      <c r="O16" s="6"/>
      <c r="P16" s="6"/>
      <c r="Q16" s="6"/>
      <c r="R16" s="6"/>
      <c r="S16" s="6"/>
      <c r="T16" s="6"/>
      <c r="U16" s="6"/>
      <c r="V16" s="3"/>
      <c r="W16" s="3"/>
      <c r="X16" s="3"/>
      <c r="Y16" s="3"/>
      <c r="Z16" s="3"/>
      <c r="AA16" s="3"/>
      <c r="AB16" s="3"/>
      <c r="AC16" s="3"/>
    </row>
    <row r="17" spans="1:34" ht="9.75" customHeight="1">
      <c r="A17" s="1"/>
      <c r="B17" s="1"/>
      <c r="C17" s="1"/>
      <c r="D17" s="1"/>
      <c r="E17" s="1"/>
      <c r="F17" s="27" t="s">
        <v>113</v>
      </c>
      <c r="G17" s="1"/>
      <c r="H17" s="1" t="s">
        <v>44</v>
      </c>
      <c r="I17" s="1" t="s">
        <v>543</v>
      </c>
      <c r="J17" s="1"/>
      <c r="K17" s="1"/>
      <c r="L17" s="21" t="s">
        <v>44</v>
      </c>
      <c r="M17" s="275">
        <f>dpress</f>
        <v>-115</v>
      </c>
      <c r="N17" s="275"/>
      <c r="O17" s="21" t="s">
        <v>45</v>
      </c>
      <c r="P17" s="275">
        <f>lh</f>
        <v>342.9</v>
      </c>
      <c r="Q17" s="275"/>
      <c r="R17" s="121" t="s">
        <v>545</v>
      </c>
      <c r="S17" s="275">
        <f>st1</f>
        <v>15.875</v>
      </c>
      <c r="T17" s="275"/>
      <c r="U17" s="8" t="s">
        <v>46</v>
      </c>
      <c r="V17" s="304">
        <f>jen</f>
        <v>0.8</v>
      </c>
      <c r="W17" s="304"/>
      <c r="X17" s="8" t="s">
        <v>52</v>
      </c>
      <c r="Y17" s="366">
        <f>M17*P17/2/S17/V17</f>
        <v>-1552.5</v>
      </c>
      <c r="Z17" s="366"/>
      <c r="AA17" s="366"/>
      <c r="AB17" s="2" t="str">
        <f>upsx(dpu)</f>
        <v>psi</v>
      </c>
      <c r="AC17" s="26" t="str">
        <f>IF(Y17&lt;=AD17,"&lt;","&gt;")</f>
        <v>&lt;</v>
      </c>
      <c r="AD17" s="365">
        <f>mas</f>
        <v>18800</v>
      </c>
      <c r="AE17" s="365"/>
      <c r="AF17" s="365"/>
      <c r="AG17" s="364" t="str">
        <f>IF(ABS(Y17)&lt;=ABS(AD17),"OK !","NO !")</f>
        <v>OK !</v>
      </c>
      <c r="AH17" s="364"/>
    </row>
    <row r="18" spans="1:29" ht="9.75" customHeight="1">
      <c r="A18" s="6"/>
      <c r="B18" s="6"/>
      <c r="C18" s="6"/>
      <c r="D18" s="6"/>
      <c r="E18" s="6"/>
      <c r="F18" s="6"/>
      <c r="G18" s="6"/>
      <c r="S18" s="6"/>
      <c r="T18" s="6"/>
      <c r="X18" s="3"/>
      <c r="Y18" s="3"/>
      <c r="Z18" s="3"/>
      <c r="AA18" s="3"/>
      <c r="AB18" s="3"/>
      <c r="AC18" s="3"/>
    </row>
    <row r="19" spans="1:20" ht="9.75" customHeight="1">
      <c r="A19" s="1"/>
      <c r="B19" s="1"/>
      <c r="C19" s="1"/>
      <c r="D19" s="1"/>
      <c r="E19" s="27" t="s">
        <v>107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9" ht="9.75" customHeight="1">
      <c r="A20" s="1"/>
      <c r="B20" s="1"/>
      <c r="C20" s="1"/>
      <c r="D20" s="1"/>
      <c r="E20" s="1"/>
      <c r="F20" s="1"/>
      <c r="G20" s="1"/>
      <c r="N20" s="1"/>
      <c r="P20" s="1"/>
      <c r="AC20" s="3"/>
    </row>
    <row r="21" spans="1:38" ht="9.75" customHeight="1">
      <c r="A21" s="6"/>
      <c r="B21" s="6"/>
      <c r="C21" s="6"/>
      <c r="D21" s="6"/>
      <c r="E21" s="6"/>
      <c r="F21" s="27" t="s">
        <v>134</v>
      </c>
      <c r="G21" s="1"/>
      <c r="H21" s="1" t="s">
        <v>44</v>
      </c>
      <c r="I21" s="1" t="s">
        <v>544</v>
      </c>
      <c r="J21" s="1"/>
      <c r="K21" s="1"/>
      <c r="L21" s="21" t="s">
        <v>44</v>
      </c>
      <c r="M21" s="275">
        <f>M17</f>
        <v>-115</v>
      </c>
      <c r="N21" s="275"/>
      <c r="O21" s="21" t="s">
        <v>45</v>
      </c>
      <c r="P21" s="275">
        <f>sh</f>
        <v>152.39999999999998</v>
      </c>
      <c r="Q21" s="275"/>
      <c r="R21" s="121" t="s">
        <v>545</v>
      </c>
      <c r="S21" s="275">
        <f>lt2</f>
        <v>25.4</v>
      </c>
      <c r="T21" s="275"/>
      <c r="U21" s="8" t="s">
        <v>46</v>
      </c>
      <c r="V21" s="304">
        <f>jem</f>
        <v>0.6</v>
      </c>
      <c r="W21" s="304"/>
      <c r="X21" s="8" t="s">
        <v>52</v>
      </c>
      <c r="Y21" s="366">
        <f>M21*P21/2/S21/V21</f>
        <v>-574.9999999999999</v>
      </c>
      <c r="Z21" s="366"/>
      <c r="AA21" s="366"/>
      <c r="AB21" s="2" t="str">
        <f>upsx(dpu)</f>
        <v>psi</v>
      </c>
      <c r="AC21" s="26" t="str">
        <f>IF(Y21&lt;=AD21,"&lt;","&gt;")</f>
        <v>&lt;</v>
      </c>
      <c r="AD21" s="365">
        <f>mas</f>
        <v>18800</v>
      </c>
      <c r="AE21" s="365"/>
      <c r="AF21" s="365"/>
      <c r="AG21" s="364" t="str">
        <f>IF(ABS(Y21)&lt;=ABS(AD21),"OK !","NO !")</f>
        <v>OK !</v>
      </c>
      <c r="AH21" s="364"/>
      <c r="AI21" s="3"/>
      <c r="AJ21" s="3"/>
      <c r="AK21" s="3"/>
      <c r="AL21" s="3"/>
    </row>
    <row r="22" spans="1:29" ht="9.75" customHeight="1">
      <c r="A22" s="1"/>
      <c r="B22" s="1"/>
      <c r="C22" s="1"/>
      <c r="D22" s="1"/>
      <c r="E22" s="1"/>
      <c r="F22" s="1"/>
      <c r="G22" s="1"/>
      <c r="U22" s="1"/>
      <c r="AC22" s="3"/>
    </row>
    <row r="23" spans="1:28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3"/>
      <c r="X23" s="3"/>
      <c r="Y23" s="3"/>
      <c r="Z23" s="3"/>
      <c r="AA23" s="3"/>
      <c r="AB23" s="3"/>
    </row>
    <row r="24" spans="1:29" ht="9.75" customHeight="1">
      <c r="A24" s="6"/>
      <c r="B24" s="6"/>
      <c r="C24" s="6"/>
      <c r="D24" s="7" t="s">
        <v>53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29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"/>
      <c r="W25" s="3"/>
      <c r="X25" s="3"/>
      <c r="Y25" s="3"/>
      <c r="Z25" s="3"/>
      <c r="AA25" s="3"/>
      <c r="AB25" s="3"/>
      <c r="AC25" s="3"/>
    </row>
    <row r="26" spans="1:29" ht="9.75" customHeight="1">
      <c r="A26" s="1"/>
      <c r="B26" s="1"/>
      <c r="C26" s="1"/>
      <c r="D26" s="1"/>
      <c r="E26" s="9" t="str">
        <f>E15</f>
        <v>Short Side Plate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6"/>
      <c r="U26" s="6"/>
      <c r="AC26" s="3"/>
    </row>
    <row r="27" spans="1:29" ht="9.75" customHeight="1">
      <c r="A27" s="6"/>
      <c r="B27" s="6"/>
      <c r="C27" s="6"/>
      <c r="D27" s="6"/>
      <c r="E27" s="6"/>
      <c r="F27" s="6"/>
      <c r="G27" s="6"/>
      <c r="N27" s="6"/>
      <c r="O27" s="3"/>
      <c r="P27" s="6"/>
      <c r="Q27" s="3"/>
      <c r="R27" s="3"/>
      <c r="S27" s="3"/>
      <c r="T27" s="6"/>
      <c r="U27" s="6"/>
      <c r="V27" s="3"/>
      <c r="W27" s="3"/>
      <c r="X27" s="3"/>
      <c r="Y27" s="3"/>
      <c r="Z27" s="3"/>
      <c r="AA27" s="3"/>
      <c r="AB27" s="3"/>
      <c r="AC27" s="3"/>
    </row>
    <row r="28" spans="1:34" ht="9.75" customHeight="1">
      <c r="A28" s="1"/>
      <c r="B28" s="1"/>
      <c r="C28" s="1"/>
      <c r="D28" s="1"/>
      <c r="E28" s="1"/>
      <c r="F28" s="372" t="s">
        <v>386</v>
      </c>
      <c r="G28" s="372"/>
      <c r="H28" s="367" t="s">
        <v>52</v>
      </c>
      <c r="I28" s="275" t="s">
        <v>128</v>
      </c>
      <c r="J28" s="275"/>
      <c r="K28" s="369" t="s">
        <v>54</v>
      </c>
      <c r="L28" s="368" t="s">
        <v>62</v>
      </c>
      <c r="M28" s="368"/>
      <c r="N28" s="368"/>
      <c r="O28" s="368"/>
      <c r="P28" s="275" t="s">
        <v>64</v>
      </c>
      <c r="Q28" s="275"/>
      <c r="R28" s="275"/>
      <c r="S28" s="369" t="s">
        <v>58</v>
      </c>
      <c r="T28" s="275">
        <v>1</v>
      </c>
      <c r="U28" s="275"/>
      <c r="Z28" s="42" t="s">
        <v>363</v>
      </c>
      <c r="AC28" s="55" t="s">
        <v>52</v>
      </c>
      <c r="AD28" s="378">
        <f>I30*L30/I31/L31*(-1.5*Q30^2+U30^2*(1+Y30^2*AB30)/(1+AB31))/AE31</f>
        <v>6229.049479987395</v>
      </c>
      <c r="AE28" s="378"/>
      <c r="AF28" s="378"/>
      <c r="AG28" s="54" t="str">
        <f>AB17</f>
        <v>psi</v>
      </c>
      <c r="AH28" s="54"/>
    </row>
    <row r="29" spans="1:34" ht="9.75" customHeight="1">
      <c r="A29" s="1"/>
      <c r="B29" s="1"/>
      <c r="C29" s="1"/>
      <c r="D29" s="1"/>
      <c r="E29" s="1"/>
      <c r="F29" s="372"/>
      <c r="G29" s="372"/>
      <c r="H29" s="367"/>
      <c r="I29" s="227" t="s">
        <v>55</v>
      </c>
      <c r="J29" s="227"/>
      <c r="K29" s="369"/>
      <c r="L29" s="368"/>
      <c r="M29" s="368"/>
      <c r="N29" s="368"/>
      <c r="O29" s="368"/>
      <c r="P29" s="227" t="s">
        <v>56</v>
      </c>
      <c r="Q29" s="227"/>
      <c r="R29" s="227"/>
      <c r="S29" s="369"/>
      <c r="T29" s="227" t="s">
        <v>553</v>
      </c>
      <c r="U29" s="227"/>
      <c r="Z29" s="42" t="s">
        <v>364</v>
      </c>
      <c r="AC29" s="55" t="s">
        <v>52</v>
      </c>
      <c r="AD29" s="378">
        <f>I30*(-L30)/I31/L31*(-1.5*Q30^2+U30^2*(1+Y30^2*AB30)/(1+AB31))/AE31</f>
        <v>-6229.049479987395</v>
      </c>
      <c r="AE29" s="378"/>
      <c r="AF29" s="378"/>
      <c r="AG29" s="54" t="str">
        <f>AG28</f>
        <v>psi</v>
      </c>
      <c r="AH29" s="54"/>
    </row>
    <row r="30" spans="1:33" ht="9.75" customHeight="1">
      <c r="A30" s="1"/>
      <c r="B30" s="1"/>
      <c r="C30" s="1"/>
      <c r="D30" s="1"/>
      <c r="E30" s="1"/>
      <c r="F30" s="1"/>
      <c r="G30" s="1"/>
      <c r="H30" s="367" t="s">
        <v>52</v>
      </c>
      <c r="I30" s="275">
        <f>M17</f>
        <v>-115</v>
      </c>
      <c r="J30" s="275"/>
      <c r="K30" s="21" t="s">
        <v>21</v>
      </c>
      <c r="L30" s="370">
        <f>sco1</f>
        <v>-7.9375</v>
      </c>
      <c r="M30" s="370"/>
      <c r="N30" s="369" t="s">
        <v>54</v>
      </c>
      <c r="O30" s="368" t="s">
        <v>59</v>
      </c>
      <c r="P30" s="368"/>
      <c r="Q30" s="369">
        <f>P21</f>
        <v>152.39999999999998</v>
      </c>
      <c r="R30" s="369"/>
      <c r="S30" s="367" t="s">
        <v>60</v>
      </c>
      <c r="T30" s="369" t="s">
        <v>61</v>
      </c>
      <c r="U30" s="369">
        <f>P17</f>
        <v>342.9</v>
      </c>
      <c r="V30" s="369"/>
      <c r="W30" s="367" t="s">
        <v>63</v>
      </c>
      <c r="X30" s="2" t="s">
        <v>65</v>
      </c>
      <c r="Y30" s="361">
        <f>alpha</f>
        <v>0.4444444444444444</v>
      </c>
      <c r="Z30" s="361"/>
      <c r="AA30" s="33" t="s">
        <v>157</v>
      </c>
      <c r="AB30" s="361">
        <f>kei</f>
        <v>1.820444444444444</v>
      </c>
      <c r="AC30" s="361"/>
      <c r="AD30" s="369" t="s">
        <v>58</v>
      </c>
      <c r="AE30" s="275">
        <v>1</v>
      </c>
      <c r="AF30" s="275"/>
      <c r="AG30" s="54"/>
    </row>
    <row r="31" spans="1:33" ht="9.75" customHeight="1">
      <c r="A31" s="6"/>
      <c r="B31" s="6"/>
      <c r="C31" s="6"/>
      <c r="D31" s="6"/>
      <c r="E31" s="6"/>
      <c r="F31" s="6"/>
      <c r="G31" s="6"/>
      <c r="H31" s="367"/>
      <c r="I31" s="227">
        <v>12</v>
      </c>
      <c r="J31" s="227"/>
      <c r="K31" s="22" t="s">
        <v>21</v>
      </c>
      <c r="L31" s="371">
        <f>si1</f>
        <v>333.3956705729167</v>
      </c>
      <c r="M31" s="371"/>
      <c r="N31" s="369"/>
      <c r="O31" s="368"/>
      <c r="P31" s="368"/>
      <c r="Q31" s="369"/>
      <c r="R31" s="369"/>
      <c r="S31" s="367"/>
      <c r="T31" s="369"/>
      <c r="U31" s="369"/>
      <c r="V31" s="369"/>
      <c r="W31" s="367"/>
      <c r="X31" s="23" t="s">
        <v>65</v>
      </c>
      <c r="Y31" s="23"/>
      <c r="Z31" s="23"/>
      <c r="AA31" s="23"/>
      <c r="AB31" s="260">
        <f>AB30</f>
        <v>1.820444444444444</v>
      </c>
      <c r="AC31" s="260"/>
      <c r="AD31" s="369"/>
      <c r="AE31" s="227">
        <f>jen</f>
        <v>0.8</v>
      </c>
      <c r="AF31" s="227"/>
      <c r="AG31" s="54"/>
    </row>
    <row r="32" spans="1:29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  <c r="AC32" s="3"/>
    </row>
    <row r="33" spans="1:28" ht="9.75" customHeight="1">
      <c r="A33" s="6"/>
      <c r="B33" s="6"/>
      <c r="C33" s="6"/>
      <c r="D33" s="6"/>
      <c r="E33" s="1"/>
      <c r="F33" s="372" t="s">
        <v>387</v>
      </c>
      <c r="G33" s="372"/>
      <c r="H33" s="367" t="s">
        <v>52</v>
      </c>
      <c r="I33" s="373" t="s">
        <v>124</v>
      </c>
      <c r="J33" s="373"/>
      <c r="K33" s="369" t="s">
        <v>88</v>
      </c>
      <c r="L33" s="275" t="s">
        <v>64</v>
      </c>
      <c r="M33" s="275"/>
      <c r="N33" s="275"/>
      <c r="O33" s="369" t="s">
        <v>89</v>
      </c>
      <c r="P33" s="6"/>
      <c r="Q33" s="6"/>
      <c r="R33" s="6"/>
      <c r="S33" s="6"/>
      <c r="T33" s="6"/>
      <c r="U33" s="6"/>
      <c r="V33" s="3"/>
      <c r="W33" s="3"/>
      <c r="X33" s="3"/>
      <c r="Y33" s="3"/>
      <c r="Z33" s="3"/>
      <c r="AA33" s="3"/>
      <c r="AB33" s="3"/>
    </row>
    <row r="34" spans="1:28" ht="9.75" customHeight="1">
      <c r="A34" s="6"/>
      <c r="B34" s="6"/>
      <c r="C34" s="6"/>
      <c r="D34" s="6"/>
      <c r="E34" s="6"/>
      <c r="F34" s="372"/>
      <c r="G34" s="372"/>
      <c r="H34" s="367"/>
      <c r="I34" s="227" t="s">
        <v>55</v>
      </c>
      <c r="J34" s="227"/>
      <c r="K34" s="369"/>
      <c r="L34" s="227" t="s">
        <v>56</v>
      </c>
      <c r="M34" s="227"/>
      <c r="N34" s="227"/>
      <c r="O34" s="369"/>
      <c r="P34" s="6"/>
      <c r="Q34" s="6"/>
      <c r="R34" s="6"/>
      <c r="S34" s="6"/>
      <c r="T34" s="6"/>
      <c r="U34" s="6"/>
      <c r="V34" s="3"/>
      <c r="W34" s="3"/>
      <c r="X34" s="3"/>
      <c r="Y34" s="3"/>
      <c r="Z34" s="3"/>
      <c r="AA34" s="3"/>
      <c r="AB34" s="3"/>
    </row>
    <row r="35" spans="1:34" ht="9.75" customHeight="1">
      <c r="A35" s="1"/>
      <c r="B35" s="1"/>
      <c r="C35" s="1"/>
      <c r="D35" s="1"/>
      <c r="E35" s="1"/>
      <c r="F35" s="1"/>
      <c r="G35" s="1"/>
      <c r="H35" s="367" t="s">
        <v>52</v>
      </c>
      <c r="I35" s="275">
        <f>I30</f>
        <v>-115</v>
      </c>
      <c r="J35" s="275"/>
      <c r="K35" s="1" t="s">
        <v>21</v>
      </c>
      <c r="L35" s="275">
        <f>U30</f>
        <v>342.9</v>
      </c>
      <c r="M35" s="275"/>
      <c r="N35" s="34" t="s">
        <v>66</v>
      </c>
      <c r="O35" s="370">
        <f>L30</f>
        <v>-7.9375</v>
      </c>
      <c r="P35" s="370"/>
      <c r="Q35" s="369" t="s">
        <v>88</v>
      </c>
      <c r="R35" s="2" t="s">
        <v>65</v>
      </c>
      <c r="S35" s="361">
        <f>Y30</f>
        <v>0.4444444444444444</v>
      </c>
      <c r="T35" s="361"/>
      <c r="U35" s="33" t="s">
        <v>66</v>
      </c>
      <c r="V35" s="361">
        <f>AB30</f>
        <v>1.820444444444444</v>
      </c>
      <c r="W35" s="361"/>
      <c r="X35" s="369" t="s">
        <v>89</v>
      </c>
      <c r="Z35" s="42" t="s">
        <v>363</v>
      </c>
      <c r="AC35" s="55" t="s">
        <v>52</v>
      </c>
      <c r="AD35" s="378">
        <f>I35*L35^2*O35/I36/L36*(1+S35^2*V35)/(1+V36)</f>
        <v>12932.039583989912</v>
      </c>
      <c r="AE35" s="378"/>
      <c r="AF35" s="378"/>
      <c r="AG35" s="54" t="str">
        <f>AG28</f>
        <v>psi</v>
      </c>
      <c r="AH35" s="54"/>
    </row>
    <row r="36" spans="1:34" ht="9.75" customHeight="1">
      <c r="A36" s="6"/>
      <c r="B36" s="6"/>
      <c r="C36" s="6"/>
      <c r="D36" s="6"/>
      <c r="E36" s="6"/>
      <c r="F36" s="6"/>
      <c r="G36" s="6"/>
      <c r="H36" s="367"/>
      <c r="I36" s="227">
        <v>12</v>
      </c>
      <c r="J36" s="227"/>
      <c r="K36" s="23" t="s">
        <v>21</v>
      </c>
      <c r="L36" s="371">
        <f>L31</f>
        <v>333.3956705729167</v>
      </c>
      <c r="M36" s="227"/>
      <c r="N36" s="23"/>
      <c r="O36" s="23"/>
      <c r="P36" s="23"/>
      <c r="Q36" s="369"/>
      <c r="R36" s="23" t="s">
        <v>65</v>
      </c>
      <c r="S36" s="23"/>
      <c r="T36" s="23"/>
      <c r="U36" s="23"/>
      <c r="V36" s="260">
        <f>AB31</f>
        <v>1.820444444444444</v>
      </c>
      <c r="W36" s="260"/>
      <c r="X36" s="369"/>
      <c r="Y36" s="3"/>
      <c r="Z36" s="42" t="s">
        <v>364</v>
      </c>
      <c r="AA36" s="3"/>
      <c r="AC36" s="55" t="s">
        <v>52</v>
      </c>
      <c r="AD36" s="378">
        <f>I35*L35^2*(-O35)/I36/L36*(1+S35^2*V35)/(1+V36)</f>
        <v>-12932.039583989912</v>
      </c>
      <c r="AE36" s="378"/>
      <c r="AF36" s="378"/>
      <c r="AG36" s="54" t="str">
        <f>AG35</f>
        <v>psi</v>
      </c>
      <c r="AH36" s="54"/>
    </row>
    <row r="37" spans="1:29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9" ht="9.75" customHeight="1">
      <c r="A38" s="1"/>
      <c r="B38" s="1"/>
      <c r="C38" s="1"/>
      <c r="D38" s="1"/>
      <c r="E38" s="9" t="str">
        <f>E19</f>
        <v>Long Side Plate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AC38" s="3"/>
    </row>
    <row r="39" spans="1:29" ht="9.75" customHeight="1">
      <c r="A39" s="6"/>
      <c r="B39" s="6"/>
      <c r="C39" s="6"/>
      <c r="D39" s="6"/>
      <c r="E39" s="6"/>
      <c r="F39" s="6"/>
      <c r="G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  <c r="AC39" s="3"/>
    </row>
    <row r="40" spans="1:33" ht="9.75" customHeight="1">
      <c r="A40" s="1"/>
      <c r="B40" s="1"/>
      <c r="C40" s="1"/>
      <c r="D40" s="1"/>
      <c r="E40" s="1"/>
      <c r="F40" s="372" t="s">
        <v>388</v>
      </c>
      <c r="G40" s="372"/>
      <c r="H40" s="367" t="s">
        <v>52</v>
      </c>
      <c r="I40" s="373" t="s">
        <v>87</v>
      </c>
      <c r="J40" s="373"/>
      <c r="K40" s="369" t="s">
        <v>54</v>
      </c>
      <c r="L40" s="368" t="s">
        <v>90</v>
      </c>
      <c r="M40" s="368"/>
      <c r="N40" s="275" t="s">
        <v>64</v>
      </c>
      <c r="O40" s="275"/>
      <c r="P40" s="275"/>
      <c r="Q40" s="369" t="s">
        <v>57</v>
      </c>
      <c r="R40" s="275">
        <v>1</v>
      </c>
      <c r="S40" s="275"/>
      <c r="T40" s="25"/>
      <c r="U40" s="1"/>
      <c r="AA40" s="42" t="s">
        <v>365</v>
      </c>
      <c r="AC40" s="55" t="s">
        <v>52</v>
      </c>
      <c r="AD40" s="378">
        <f>I42*L42^2*O42/I43/L43*(-1.5+(1+U42^2*X42)/(1+X43))/AA43</f>
        <v>-17779.1408958399</v>
      </c>
      <c r="AE40" s="378"/>
      <c r="AF40" s="378"/>
      <c r="AG40" s="54" t="str">
        <f>AB21</f>
        <v>psi</v>
      </c>
    </row>
    <row r="41" spans="1:33" ht="9.75" customHeight="1">
      <c r="A41" s="1"/>
      <c r="B41" s="1"/>
      <c r="C41" s="1"/>
      <c r="D41" s="1"/>
      <c r="E41" s="1"/>
      <c r="F41" s="372"/>
      <c r="G41" s="372"/>
      <c r="H41" s="367"/>
      <c r="I41" s="227" t="s">
        <v>91</v>
      </c>
      <c r="J41" s="227"/>
      <c r="K41" s="369"/>
      <c r="L41" s="368"/>
      <c r="M41" s="368"/>
      <c r="N41" s="227" t="s">
        <v>56</v>
      </c>
      <c r="O41" s="227"/>
      <c r="P41" s="227"/>
      <c r="Q41" s="369"/>
      <c r="R41" s="227" t="s">
        <v>547</v>
      </c>
      <c r="S41" s="227"/>
      <c r="T41" s="25"/>
      <c r="U41" s="1"/>
      <c r="AA41" s="87" t="s">
        <v>367</v>
      </c>
      <c r="AC41" s="55" t="s">
        <v>52</v>
      </c>
      <c r="AD41" s="378">
        <f>I42*L42^2*(-O42)/I43/L43*(-1.5+(1+U42^2*X42)/(1+X43))/AA43</f>
        <v>17779.1408958399</v>
      </c>
      <c r="AE41" s="378"/>
      <c r="AF41" s="378"/>
      <c r="AG41" s="54" t="str">
        <f>AG40</f>
        <v>psi</v>
      </c>
    </row>
    <row r="42" spans="1:34" ht="9.75" customHeight="1">
      <c r="A42" s="1"/>
      <c r="B42" s="1"/>
      <c r="C42" s="1"/>
      <c r="D42" s="1"/>
      <c r="E42" s="1"/>
      <c r="F42" s="1"/>
      <c r="G42" s="1"/>
      <c r="H42" s="367" t="s">
        <v>52</v>
      </c>
      <c r="I42" s="275">
        <f>M21</f>
        <v>-115</v>
      </c>
      <c r="J42" s="275"/>
      <c r="K42" s="1" t="s">
        <v>21</v>
      </c>
      <c r="L42" s="275">
        <f>L35</f>
        <v>342.9</v>
      </c>
      <c r="M42" s="275"/>
      <c r="N42" s="34" t="s">
        <v>66</v>
      </c>
      <c r="O42" s="370">
        <f>lco2</f>
        <v>-12.7</v>
      </c>
      <c r="P42" s="370"/>
      <c r="Q42" s="369" t="s">
        <v>54</v>
      </c>
      <c r="R42" s="368" t="s">
        <v>256</v>
      </c>
      <c r="S42" s="368"/>
      <c r="T42" s="2" t="s">
        <v>65</v>
      </c>
      <c r="U42" s="361">
        <f>S35</f>
        <v>0.4444444444444444</v>
      </c>
      <c r="V42" s="361"/>
      <c r="W42" s="33" t="s">
        <v>66</v>
      </c>
      <c r="X42" s="361">
        <f>V35</f>
        <v>1.820444444444444</v>
      </c>
      <c r="Y42" s="361"/>
      <c r="Z42" s="369" t="s">
        <v>57</v>
      </c>
      <c r="AA42" s="275">
        <v>1</v>
      </c>
      <c r="AB42" s="275"/>
      <c r="AC42" s="54"/>
      <c r="AH42" s="54"/>
    </row>
    <row r="43" spans="1:34" ht="9.75" customHeight="1">
      <c r="A43" s="6"/>
      <c r="B43" s="6"/>
      <c r="C43" s="6"/>
      <c r="D43" s="6"/>
      <c r="E43" s="6"/>
      <c r="F43" s="6"/>
      <c r="G43" s="6"/>
      <c r="H43" s="367"/>
      <c r="I43" s="227">
        <v>12</v>
      </c>
      <c r="J43" s="227"/>
      <c r="K43" s="23" t="s">
        <v>21</v>
      </c>
      <c r="L43" s="371">
        <f>li2</f>
        <v>1365.5886666666665</v>
      </c>
      <c r="M43" s="227"/>
      <c r="N43" s="23"/>
      <c r="O43" s="23"/>
      <c r="P43" s="23"/>
      <c r="Q43" s="369"/>
      <c r="R43" s="368"/>
      <c r="S43" s="368"/>
      <c r="T43" s="23" t="s">
        <v>65</v>
      </c>
      <c r="U43" s="23"/>
      <c r="V43" s="23"/>
      <c r="W43" s="23"/>
      <c r="X43" s="260">
        <f>V36</f>
        <v>1.820444444444444</v>
      </c>
      <c r="Y43" s="260"/>
      <c r="Z43" s="369"/>
      <c r="AA43" s="227">
        <f>jem</f>
        <v>0.6</v>
      </c>
      <c r="AB43" s="227"/>
      <c r="AC43" s="54"/>
      <c r="AH43" s="54"/>
    </row>
    <row r="44" spans="1:32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AC44" s="3"/>
      <c r="AD44" s="86"/>
      <c r="AE44" s="86"/>
      <c r="AF44" s="86"/>
    </row>
    <row r="45" spans="1:28" ht="9.75" customHeight="1">
      <c r="A45" s="6"/>
      <c r="B45" s="6"/>
      <c r="C45" s="6"/>
      <c r="D45" s="6"/>
      <c r="E45" s="6"/>
      <c r="F45" s="372" t="s">
        <v>389</v>
      </c>
      <c r="G45" s="372"/>
      <c r="H45" s="367" t="s">
        <v>52</v>
      </c>
      <c r="I45" s="373" t="s">
        <v>87</v>
      </c>
      <c r="J45" s="373"/>
      <c r="K45" s="369" t="s">
        <v>88</v>
      </c>
      <c r="L45" s="275" t="s">
        <v>64</v>
      </c>
      <c r="M45" s="275"/>
      <c r="N45" s="275"/>
      <c r="O45" s="369" t="s">
        <v>89</v>
      </c>
      <c r="P45" s="6"/>
      <c r="Q45" s="6"/>
      <c r="R45" s="6"/>
      <c r="S45" s="6"/>
      <c r="T45" s="6"/>
      <c r="U45" s="6"/>
      <c r="V45" s="3"/>
      <c r="W45" s="3"/>
      <c r="X45" s="3"/>
      <c r="Y45" s="3"/>
      <c r="Z45" s="3"/>
      <c r="AA45" s="3"/>
      <c r="AB45" s="3"/>
    </row>
    <row r="46" spans="1:28" ht="9.75" customHeight="1">
      <c r="A46" s="6"/>
      <c r="B46" s="6"/>
      <c r="C46" s="6"/>
      <c r="D46" s="6"/>
      <c r="E46" s="6"/>
      <c r="F46" s="372"/>
      <c r="G46" s="372"/>
      <c r="H46" s="367"/>
      <c r="I46" s="227" t="s">
        <v>91</v>
      </c>
      <c r="J46" s="227"/>
      <c r="K46" s="369"/>
      <c r="L46" s="227" t="s">
        <v>56</v>
      </c>
      <c r="M46" s="227"/>
      <c r="N46" s="227"/>
      <c r="O46" s="369"/>
      <c r="P46" s="6"/>
      <c r="Q46" s="6"/>
      <c r="R46" s="6"/>
      <c r="S46" s="6"/>
      <c r="T46" s="6"/>
      <c r="U46" s="6"/>
      <c r="V46" s="3"/>
      <c r="W46" s="3"/>
      <c r="X46" s="3"/>
      <c r="Y46" s="3"/>
      <c r="Z46" s="3"/>
      <c r="AA46" s="3"/>
      <c r="AB46" s="3"/>
    </row>
    <row r="47" spans="1:34" ht="9.75" customHeight="1">
      <c r="A47" s="1"/>
      <c r="B47" s="1"/>
      <c r="C47" s="1"/>
      <c r="D47" s="1"/>
      <c r="E47" s="1"/>
      <c r="F47" s="1"/>
      <c r="G47" s="1"/>
      <c r="H47" s="367" t="s">
        <v>52</v>
      </c>
      <c r="I47" s="275">
        <f>I42</f>
        <v>-115</v>
      </c>
      <c r="J47" s="275"/>
      <c r="K47" s="1" t="s">
        <v>21</v>
      </c>
      <c r="L47" s="275">
        <f>L42</f>
        <v>342.9</v>
      </c>
      <c r="M47" s="275"/>
      <c r="N47" s="1" t="s">
        <v>66</v>
      </c>
      <c r="O47" s="370">
        <f>O42</f>
        <v>-12.7</v>
      </c>
      <c r="P47" s="370"/>
      <c r="Q47" s="369" t="s">
        <v>88</v>
      </c>
      <c r="R47" s="2" t="s">
        <v>65</v>
      </c>
      <c r="S47" s="361">
        <f>U42</f>
        <v>0.4444444444444444</v>
      </c>
      <c r="T47" s="361"/>
      <c r="U47" s="33" t="s">
        <v>66</v>
      </c>
      <c r="V47" s="361">
        <f>X42</f>
        <v>1.820444444444444</v>
      </c>
      <c r="W47" s="361"/>
      <c r="X47" s="369" t="s">
        <v>89</v>
      </c>
      <c r="Z47" s="42" t="s">
        <v>363</v>
      </c>
      <c r="AC47" s="55" t="s">
        <v>52</v>
      </c>
      <c r="AD47" s="378">
        <f>I47*L47^2*O47/I48/L48*(1+S47^2*V47)/(1+V48)</f>
        <v>5051.577962496061</v>
      </c>
      <c r="AE47" s="378"/>
      <c r="AF47" s="378"/>
      <c r="AG47" s="54" t="str">
        <f>AG40</f>
        <v>psi</v>
      </c>
      <c r="AH47" s="54"/>
    </row>
    <row r="48" spans="1:34" ht="9.75" customHeight="1">
      <c r="A48" s="6"/>
      <c r="B48" s="6"/>
      <c r="C48" s="6"/>
      <c r="D48" s="6"/>
      <c r="E48" s="6"/>
      <c r="F48" s="6"/>
      <c r="G48" s="6"/>
      <c r="H48" s="367"/>
      <c r="I48" s="227">
        <v>12</v>
      </c>
      <c r="J48" s="227"/>
      <c r="K48" s="23" t="s">
        <v>21</v>
      </c>
      <c r="L48" s="371">
        <f>L43</f>
        <v>1365.5886666666665</v>
      </c>
      <c r="M48" s="227"/>
      <c r="N48" s="23"/>
      <c r="O48" s="23"/>
      <c r="P48" s="23"/>
      <c r="Q48" s="369"/>
      <c r="R48" s="23" t="s">
        <v>65</v>
      </c>
      <c r="S48" s="23"/>
      <c r="T48" s="23"/>
      <c r="U48" s="23"/>
      <c r="V48" s="260">
        <f>X43</f>
        <v>1.820444444444444</v>
      </c>
      <c r="W48" s="260"/>
      <c r="X48" s="369"/>
      <c r="Y48" s="3"/>
      <c r="Z48" s="42" t="s">
        <v>364</v>
      </c>
      <c r="AA48" s="3"/>
      <c r="AC48" s="55" t="s">
        <v>52</v>
      </c>
      <c r="AD48" s="378">
        <f>I47*L47^2*(-O47)/I48/L48*(1+S47^2*V47)/(1+V48)</f>
        <v>-5051.577962496061</v>
      </c>
      <c r="AE48" s="378"/>
      <c r="AF48" s="378"/>
      <c r="AG48" s="54" t="str">
        <f>AG47</f>
        <v>psi</v>
      </c>
      <c r="AH48" s="54"/>
    </row>
    <row r="49" spans="1:29" ht="9.75" customHeight="1">
      <c r="A49" s="1"/>
      <c r="B49" s="1"/>
      <c r="C49" s="1"/>
      <c r="D49" s="1"/>
      <c r="E49" s="1"/>
      <c r="F49" s="1"/>
      <c r="G49" s="1"/>
      <c r="N49" s="1"/>
      <c r="O49" s="1"/>
      <c r="P49" s="1"/>
      <c r="Q49" s="1"/>
      <c r="R49" s="1"/>
      <c r="S49" s="1"/>
      <c r="T49" s="1"/>
      <c r="U49" s="1"/>
      <c r="AC49" s="3"/>
    </row>
    <row r="50" spans="1:29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</row>
    <row r="51" spans="1:29" ht="9.75" customHeight="1">
      <c r="A51" s="1"/>
      <c r="B51" s="1"/>
      <c r="C51" s="1"/>
      <c r="D51" s="9" t="s">
        <v>92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29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  <c r="AC52" s="3"/>
    </row>
    <row r="53" spans="1:37" ht="9.75" customHeight="1">
      <c r="A53" s="1"/>
      <c r="B53" s="1"/>
      <c r="C53" s="1"/>
      <c r="D53" s="1"/>
      <c r="E53" s="9" t="str">
        <f>E15</f>
        <v>Short Side Plate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C53" s="3"/>
      <c r="AD53" s="284">
        <v>1.5</v>
      </c>
      <c r="AE53" s="284"/>
      <c r="AF53" s="30" t="s">
        <v>138</v>
      </c>
      <c r="AJ53" s="275" t="s">
        <v>566</v>
      </c>
      <c r="AK53" s="275"/>
    </row>
    <row r="54" spans="1:37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AC54" s="3"/>
      <c r="AJ54" s="360" t="s">
        <v>567</v>
      </c>
      <c r="AK54" s="360"/>
    </row>
    <row r="55" spans="1:49" ht="9.75" customHeight="1">
      <c r="A55" s="1"/>
      <c r="B55" s="1"/>
      <c r="C55" s="1"/>
      <c r="D55" s="1"/>
      <c r="E55" s="1"/>
      <c r="F55" s="9" t="s">
        <v>93</v>
      </c>
      <c r="G55" s="1"/>
      <c r="H55" s="1" t="s">
        <v>52</v>
      </c>
      <c r="I55" s="288" t="str">
        <f>F17</f>
        <v>SmS</v>
      </c>
      <c r="J55" s="288"/>
      <c r="K55" s="21" t="s">
        <v>135</v>
      </c>
      <c r="L55" s="288" t="str">
        <f>F28</f>
        <v>(Sb)N</v>
      </c>
      <c r="M55" s="288"/>
      <c r="N55" s="21" t="s">
        <v>52</v>
      </c>
      <c r="O55" s="273">
        <f>Y17</f>
        <v>-1552.5</v>
      </c>
      <c r="P55" s="273"/>
      <c r="Q55" s="273"/>
      <c r="R55" s="21" t="s">
        <v>94</v>
      </c>
      <c r="S55" s="273">
        <f>AD28</f>
        <v>6229.049479987395</v>
      </c>
      <c r="T55" s="273"/>
      <c r="U55" s="273"/>
      <c r="V55" s="42" t="s">
        <v>365</v>
      </c>
      <c r="X55" s="8" t="s">
        <v>95</v>
      </c>
      <c r="Y55" s="366">
        <f>O55+S55</f>
        <v>4676.549479987395</v>
      </c>
      <c r="Z55" s="366"/>
      <c r="AA55" s="366"/>
      <c r="AB55" s="2" t="str">
        <f>AG29</f>
        <v>psi</v>
      </c>
      <c r="AC55" s="26" t="str">
        <f>IF(ABS(Y55)&lt;=ABS(AD55),"&lt;","&gt;")</f>
        <v>&lt;</v>
      </c>
      <c r="AD55" s="365">
        <f>AD53*AD17</f>
        <v>28200</v>
      </c>
      <c r="AE55" s="365"/>
      <c r="AF55" s="365"/>
      <c r="AG55" s="364" t="str">
        <f>IF(ABS(Y55)&lt;=ABS(AD55),"OK !","NO !")</f>
        <v>OK !</v>
      </c>
      <c r="AH55" s="364"/>
      <c r="AI55" s="8" t="s">
        <v>579</v>
      </c>
      <c r="AJ55" s="361">
        <f>ABS(Y55/AD55)</f>
        <v>0.16583508794281543</v>
      </c>
      <c r="AK55" s="361"/>
      <c r="AL55" s="43" t="str">
        <f>IF(AJ55&lt;&gt;AJ69,"*","M")</f>
        <v>*</v>
      </c>
      <c r="AM55" s="362">
        <f>IF(AJ55&lt;&gt;AJ69,"",E53)</f>
      </c>
      <c r="AN55" s="328"/>
      <c r="AO55" s="328"/>
      <c r="AP55" s="363"/>
      <c r="AQ55" s="362">
        <f>IF(AJ55&lt;&gt;AJ69,"",AI55)</f>
      </c>
      <c r="AR55" s="363"/>
      <c r="AS55" s="351">
        <f>IF(AJ55&lt;&gt;AJ69,"",Y55)</f>
      </c>
      <c r="AT55" s="352"/>
      <c r="AU55" s="353">
        <f>IF(AJ55&lt;&gt;AJ69,"",AD55)</f>
      </c>
      <c r="AV55" s="353"/>
      <c r="AW55" s="135">
        <f>IF(AJ55&lt;&gt;AJ69,"",AG55)</f>
      </c>
    </row>
    <row r="56" spans="1:49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1" t="s">
        <v>52</v>
      </c>
      <c r="O56" s="273">
        <f>O55</f>
        <v>-1552.5</v>
      </c>
      <c r="P56" s="273"/>
      <c r="Q56" s="273"/>
      <c r="R56" s="21" t="s">
        <v>94</v>
      </c>
      <c r="S56" s="273">
        <f>AD29</f>
        <v>-6229.049479987395</v>
      </c>
      <c r="T56" s="273"/>
      <c r="U56" s="273"/>
      <c r="V56" s="87" t="s">
        <v>366</v>
      </c>
      <c r="W56" s="3"/>
      <c r="X56" s="8" t="s">
        <v>95</v>
      </c>
      <c r="Y56" s="366">
        <f>O56+S56</f>
        <v>-7781.549479987395</v>
      </c>
      <c r="Z56" s="366"/>
      <c r="AA56" s="366"/>
      <c r="AB56" s="2" t="str">
        <f>AB55</f>
        <v>psi</v>
      </c>
      <c r="AC56" s="26" t="str">
        <f>IF(ABS(Y56)&lt;=ABS(AD56),"&lt;","&gt;")</f>
        <v>&lt;</v>
      </c>
      <c r="AD56" s="365">
        <f>AD55</f>
        <v>28200</v>
      </c>
      <c r="AE56" s="365"/>
      <c r="AF56" s="365"/>
      <c r="AG56" s="364" t="str">
        <f>IF(ABS(Y56)&lt;=ABS(AD56),"OK !","NO !")</f>
        <v>OK !</v>
      </c>
      <c r="AH56" s="364"/>
      <c r="AJ56" s="361">
        <f>ABS(Y56/AD56)</f>
        <v>0.2759414709215388</v>
      </c>
      <c r="AK56" s="361"/>
      <c r="AL56" s="43" t="str">
        <f>IF(AJ56&lt;&gt;AJ69,"*","M")</f>
        <v>*</v>
      </c>
      <c r="AM56" s="362">
        <f>IF(AJ56&lt;&gt;AJ69,"",E53)</f>
      </c>
      <c r="AN56" s="328"/>
      <c r="AO56" s="328"/>
      <c r="AP56" s="363"/>
      <c r="AQ56" s="362">
        <f>IF(AJ56&lt;&gt;AJ69,"",AI55)</f>
      </c>
      <c r="AR56" s="363"/>
      <c r="AS56" s="351">
        <f>IF(AJ56&lt;&gt;AJ69,"",Y56)</f>
      </c>
      <c r="AT56" s="352"/>
      <c r="AU56" s="353">
        <f>IF(AJ56&lt;&gt;AJ69,"",AD56)</f>
      </c>
      <c r="AV56" s="353"/>
      <c r="AW56" s="135">
        <f>IF(AJ56&lt;&gt;AJ69,"",AG56)</f>
      </c>
    </row>
    <row r="57" spans="1:49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  <c r="AM57" s="133"/>
      <c r="AN57" s="1"/>
      <c r="AO57" s="1"/>
      <c r="AP57" s="134"/>
      <c r="AQ57" s="362"/>
      <c r="AR57" s="363"/>
      <c r="AS57" s="133"/>
      <c r="AT57" s="134"/>
      <c r="AW57" s="133"/>
    </row>
    <row r="58" spans="1:49" ht="9.75" customHeight="1">
      <c r="A58" s="1"/>
      <c r="B58" s="1"/>
      <c r="C58" s="1"/>
      <c r="D58" s="1"/>
      <c r="E58" s="1"/>
      <c r="F58" s="9" t="s">
        <v>96</v>
      </c>
      <c r="G58" s="1"/>
      <c r="H58" s="1" t="s">
        <v>52</v>
      </c>
      <c r="I58" s="288" t="str">
        <f>F17</f>
        <v>SmS</v>
      </c>
      <c r="J58" s="288"/>
      <c r="K58" s="21" t="s">
        <v>135</v>
      </c>
      <c r="L58" s="288" t="str">
        <f>F33</f>
        <v>(Sb)QS</v>
      </c>
      <c r="M58" s="288"/>
      <c r="N58" s="21" t="s">
        <v>52</v>
      </c>
      <c r="O58" s="273">
        <f>Y17</f>
        <v>-1552.5</v>
      </c>
      <c r="P58" s="273"/>
      <c r="Q58" s="273"/>
      <c r="R58" s="21" t="s">
        <v>94</v>
      </c>
      <c r="S58" s="273">
        <f>AD35</f>
        <v>12932.039583989912</v>
      </c>
      <c r="T58" s="273"/>
      <c r="U58" s="273"/>
      <c r="V58" s="42" t="s">
        <v>365</v>
      </c>
      <c r="X58" s="8" t="s">
        <v>95</v>
      </c>
      <c r="Y58" s="366">
        <f>O58+S58</f>
        <v>11379.539583989912</v>
      </c>
      <c r="Z58" s="366"/>
      <c r="AA58" s="366"/>
      <c r="AB58" s="2" t="str">
        <f>AG36</f>
        <v>psi</v>
      </c>
      <c r="AC58" s="26" t="str">
        <f>IF(ABS(Y58)&lt;=ABS(AD58),"&lt;","&gt;")</f>
        <v>&lt;</v>
      </c>
      <c r="AD58" s="365">
        <f>AD55</f>
        <v>28200</v>
      </c>
      <c r="AE58" s="365"/>
      <c r="AF58" s="365"/>
      <c r="AG58" s="364" t="str">
        <f>IF(ABS(Y58)&lt;=ABS(AD58),"OK !","NO !")</f>
        <v>OK !</v>
      </c>
      <c r="AH58" s="364"/>
      <c r="AI58" s="8" t="s">
        <v>30</v>
      </c>
      <c r="AJ58" s="361">
        <f>ABS(Y58/AD58)</f>
        <v>0.4035297724819118</v>
      </c>
      <c r="AK58" s="361"/>
      <c r="AL58" s="43" t="str">
        <f>IF(AJ58&lt;&gt;AJ69,"*","M")</f>
        <v>*</v>
      </c>
      <c r="AM58" s="362">
        <f>IF(AJ58&lt;&gt;AJ69,"",E53)</f>
      </c>
      <c r="AN58" s="328"/>
      <c r="AO58" s="328"/>
      <c r="AP58" s="363"/>
      <c r="AQ58" s="43">
        <f>IF(AJ58&lt;&gt;AJ69,"",AI58)</f>
      </c>
      <c r="AR58" s="43"/>
      <c r="AS58" s="351">
        <f>IF(AJ58&lt;&gt;AJ69,"",Y58)</f>
      </c>
      <c r="AT58" s="352"/>
      <c r="AU58" s="353">
        <f>IF(AJ58&lt;&gt;AJ69,"",AD58)</f>
      </c>
      <c r="AV58" s="353"/>
      <c r="AW58" s="135">
        <f>IF(AJ58&lt;&gt;AJ69,"",AG58)</f>
      </c>
    </row>
    <row r="59" spans="1:50" ht="9.75" customHeight="1">
      <c r="A59" s="6"/>
      <c r="B59" s="6"/>
      <c r="C59" s="6"/>
      <c r="D59" s="6"/>
      <c r="E59" s="6"/>
      <c r="F59" s="6"/>
      <c r="G59" s="6"/>
      <c r="N59" s="21" t="s">
        <v>52</v>
      </c>
      <c r="O59" s="273">
        <f>O58</f>
        <v>-1552.5</v>
      </c>
      <c r="P59" s="273"/>
      <c r="Q59" s="273"/>
      <c r="R59" s="21" t="s">
        <v>94</v>
      </c>
      <c r="S59" s="273">
        <f>AD36</f>
        <v>-12932.039583989912</v>
      </c>
      <c r="T59" s="273"/>
      <c r="U59" s="273"/>
      <c r="V59" s="87" t="s">
        <v>366</v>
      </c>
      <c r="W59" s="3"/>
      <c r="X59" s="8" t="s">
        <v>95</v>
      </c>
      <c r="Y59" s="366">
        <f>O59+S59</f>
        <v>-14484.539583989912</v>
      </c>
      <c r="Z59" s="366"/>
      <c r="AA59" s="366"/>
      <c r="AB59" s="2" t="str">
        <f>AB58</f>
        <v>psi</v>
      </c>
      <c r="AC59" s="26" t="str">
        <f>IF(ABS(Y59)&lt;=ABS(AD59),"&lt;","&gt;")</f>
        <v>&lt;</v>
      </c>
      <c r="AD59" s="365">
        <f>AD58</f>
        <v>28200</v>
      </c>
      <c r="AE59" s="365"/>
      <c r="AF59" s="365"/>
      <c r="AG59" s="364" t="str">
        <f>IF(ABS(Y59)&lt;=ABS(AD59),"OK !","NO !")</f>
        <v>OK !</v>
      </c>
      <c r="AH59" s="364"/>
      <c r="AJ59" s="361">
        <f>ABS(Y59/AD59)</f>
        <v>0.5136361554606351</v>
      </c>
      <c r="AK59" s="361"/>
      <c r="AL59" s="43" t="str">
        <f>IF(AJ59&lt;&gt;AJ69,"*","M")</f>
        <v>*</v>
      </c>
      <c r="AM59" s="362">
        <f>IF(AJ59&lt;&gt;AJ69,"",E53)</f>
      </c>
      <c r="AN59" s="328"/>
      <c r="AO59" s="328"/>
      <c r="AP59" s="363"/>
      <c r="AQ59" s="362">
        <f>IF(AJ59&lt;&gt;AJ69,"",AI58)</f>
      </c>
      <c r="AR59" s="363"/>
      <c r="AS59" s="357">
        <f>IF(AJ59&lt;&gt;AJ69,"",Y59)</f>
      </c>
      <c r="AT59" s="358"/>
      <c r="AU59" s="357">
        <f>IF(AJ59&lt;&gt;AJ69,"",AD59)</f>
      </c>
      <c r="AV59" s="359"/>
      <c r="AW59" s="135">
        <f>IF(AJ59&lt;&gt;AJ69,"",AG59)</f>
      </c>
      <c r="AX59" s="3"/>
    </row>
    <row r="60" spans="1:49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3"/>
      <c r="W60" s="3"/>
      <c r="X60" s="3"/>
      <c r="AC60" s="3"/>
      <c r="AD60" s="88"/>
      <c r="AE60" s="88"/>
      <c r="AF60" s="88"/>
      <c r="AM60" s="133"/>
      <c r="AN60" s="1"/>
      <c r="AO60" s="1"/>
      <c r="AP60" s="134"/>
      <c r="AS60" s="133"/>
      <c r="AT60" s="134"/>
      <c r="AW60" s="133"/>
    </row>
    <row r="61" spans="1:49" ht="9.75" customHeight="1">
      <c r="A61" s="6"/>
      <c r="B61" s="6"/>
      <c r="C61" s="6"/>
      <c r="D61" s="6"/>
      <c r="E61" s="9" t="str">
        <f>E19</f>
        <v>Long Side Plate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3"/>
      <c r="W61" s="3"/>
      <c r="X61" s="3"/>
      <c r="AC61" s="3"/>
      <c r="AD61" s="3"/>
      <c r="AE61" s="3"/>
      <c r="AF61" s="3"/>
      <c r="AM61" s="133"/>
      <c r="AN61" s="1"/>
      <c r="AO61" s="1"/>
      <c r="AP61" s="134"/>
      <c r="AS61" s="133"/>
      <c r="AT61" s="134"/>
      <c r="AW61" s="133"/>
    </row>
    <row r="62" spans="1:49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Y62" s="3"/>
      <c r="AM62" s="133"/>
      <c r="AN62" s="1"/>
      <c r="AO62" s="1"/>
      <c r="AP62" s="134"/>
      <c r="AS62" s="133"/>
      <c r="AT62" s="134"/>
      <c r="AW62" s="133"/>
    </row>
    <row r="63" spans="1:49" ht="9.75" customHeight="1">
      <c r="A63" s="6"/>
      <c r="B63" s="6"/>
      <c r="C63" s="6"/>
      <c r="D63" s="6"/>
      <c r="E63" s="6"/>
      <c r="F63" s="9" t="s">
        <v>97</v>
      </c>
      <c r="G63" s="1"/>
      <c r="H63" s="1" t="s">
        <v>52</v>
      </c>
      <c r="I63" s="288" t="str">
        <f>F21</f>
        <v>SmL</v>
      </c>
      <c r="J63" s="288"/>
      <c r="K63" s="21" t="s">
        <v>135</v>
      </c>
      <c r="L63" s="288" t="str">
        <f>F40</f>
        <v>(Sb)M</v>
      </c>
      <c r="M63" s="288"/>
      <c r="N63" s="21" t="s">
        <v>52</v>
      </c>
      <c r="O63" s="273">
        <f>Y21</f>
        <v>-574.9999999999999</v>
      </c>
      <c r="P63" s="273"/>
      <c r="Q63" s="273"/>
      <c r="R63" s="21" t="s">
        <v>94</v>
      </c>
      <c r="S63" s="273">
        <f>AD40</f>
        <v>-17779.1408958399</v>
      </c>
      <c r="T63" s="273"/>
      <c r="U63" s="273"/>
      <c r="V63" s="42" t="s">
        <v>365</v>
      </c>
      <c r="X63" s="8" t="s">
        <v>95</v>
      </c>
      <c r="Y63" s="366">
        <f>O63+S63</f>
        <v>-18354.1408958399</v>
      </c>
      <c r="Z63" s="366"/>
      <c r="AA63" s="366"/>
      <c r="AB63" s="2" t="str">
        <f>AG41</f>
        <v>psi</v>
      </c>
      <c r="AC63" s="26" t="str">
        <f>IF(ABS(Y63)&lt;=ABS(AD63),"&lt;","&gt;")</f>
        <v>&lt;</v>
      </c>
      <c r="AD63" s="365">
        <f>AD53*AD21</f>
        <v>28200</v>
      </c>
      <c r="AE63" s="365"/>
      <c r="AF63" s="365"/>
      <c r="AG63" s="364" t="str">
        <f>IF(ABS(Y63)&lt;=ABS(AD63),"OK !","NO !")</f>
        <v>OK !</v>
      </c>
      <c r="AH63" s="364"/>
      <c r="AI63" s="8" t="s">
        <v>580</v>
      </c>
      <c r="AJ63" s="361">
        <f>ABS(Y63/AD63)</f>
        <v>0.6508560601361667</v>
      </c>
      <c r="AK63" s="361"/>
      <c r="AL63" s="43" t="str">
        <f>IF(AJ63&lt;&gt;AJ69,"*","M")</f>
        <v>M</v>
      </c>
      <c r="AM63" s="362" t="str">
        <f>IF(AJ63&lt;&gt;AJ69,"",E61)</f>
        <v>Long Side Plate</v>
      </c>
      <c r="AN63" s="328"/>
      <c r="AO63" s="328"/>
      <c r="AP63" s="363"/>
      <c r="AQ63" s="362" t="str">
        <f>IF(AJ63&lt;&gt;AJ69,"",AI63)</f>
        <v>M</v>
      </c>
      <c r="AR63" s="363"/>
      <c r="AS63" s="351">
        <f>IF(AJ63&lt;&gt;AJ69,"",Y63)</f>
        <v>-18354.1408958399</v>
      </c>
      <c r="AT63" s="352"/>
      <c r="AU63" s="353">
        <f>IF(AJ63&lt;&gt;AJ69,"",AD63)</f>
        <v>28200</v>
      </c>
      <c r="AV63" s="353"/>
      <c r="AW63" s="135" t="str">
        <f>IF(AJ63&lt;&gt;AJ69,"",AG63)</f>
        <v>OK !</v>
      </c>
    </row>
    <row r="64" spans="1:49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" t="s">
        <v>52</v>
      </c>
      <c r="O64" s="273">
        <f>O63</f>
        <v>-574.9999999999999</v>
      </c>
      <c r="P64" s="273"/>
      <c r="Q64" s="273"/>
      <c r="R64" s="21" t="s">
        <v>94</v>
      </c>
      <c r="S64" s="273">
        <f>AD41</f>
        <v>17779.1408958399</v>
      </c>
      <c r="T64" s="273"/>
      <c r="U64" s="273"/>
      <c r="V64" s="87" t="s">
        <v>366</v>
      </c>
      <c r="W64" s="3"/>
      <c r="X64" s="8" t="s">
        <v>95</v>
      </c>
      <c r="Y64" s="366">
        <f>O64+S64</f>
        <v>17204.1408958399</v>
      </c>
      <c r="Z64" s="366"/>
      <c r="AA64" s="366"/>
      <c r="AB64" s="2" t="str">
        <f>AB63</f>
        <v>psi</v>
      </c>
      <c r="AC64" s="26" t="str">
        <f>IF(ABS(Y64)&lt;=ABS(AD64),"&lt;","&gt;")</f>
        <v>&lt;</v>
      </c>
      <c r="AD64" s="365">
        <f>AD63</f>
        <v>28200</v>
      </c>
      <c r="AE64" s="365"/>
      <c r="AF64" s="365"/>
      <c r="AG64" s="364" t="str">
        <f>IF(ABS(Y64)&lt;=ABS(AD64),"OK !","NO !")</f>
        <v>OK !</v>
      </c>
      <c r="AH64" s="364"/>
      <c r="AJ64" s="361">
        <f>ABS(Y64/AD64)</f>
        <v>0.6100759182921951</v>
      </c>
      <c r="AK64" s="361"/>
      <c r="AL64" s="43" t="str">
        <f>IF(AJ64&lt;&gt;AJ69,"*","M")</f>
        <v>*</v>
      </c>
      <c r="AM64" s="362">
        <f>IF(AJ64&lt;&gt;AJ69,"",E61)</f>
      </c>
      <c r="AN64" s="328"/>
      <c r="AO64" s="328"/>
      <c r="AP64" s="363"/>
      <c r="AQ64" s="362">
        <f>IF(AJ64&lt;&gt;AJ69,"",AI63)</f>
      </c>
      <c r="AR64" s="363"/>
      <c r="AS64" s="351">
        <f>IF(AJ64&lt;&gt;AJ69,"",Y64)</f>
      </c>
      <c r="AT64" s="352"/>
      <c r="AU64" s="353">
        <f>IF(AJ64&lt;&gt;AJ69,"",AD64)</f>
      </c>
      <c r="AV64" s="353"/>
      <c r="AW64" s="135">
        <f>IF(AJ64&lt;&gt;AJ69,"",AG64)</f>
      </c>
    </row>
    <row r="65" spans="1:49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AD65" s="89"/>
      <c r="AE65" s="89"/>
      <c r="AF65" s="89"/>
      <c r="AL65" s="43"/>
      <c r="AM65" s="131"/>
      <c r="AN65" s="43"/>
      <c r="AO65" s="43"/>
      <c r="AP65" s="132"/>
      <c r="AQ65" s="43"/>
      <c r="AR65" s="43"/>
      <c r="AS65" s="131"/>
      <c r="AT65" s="132"/>
      <c r="AU65" s="43"/>
      <c r="AV65" s="43"/>
      <c r="AW65" s="131"/>
    </row>
    <row r="66" spans="1:49" ht="9.75" customHeight="1">
      <c r="A66" s="1"/>
      <c r="B66" s="1"/>
      <c r="C66" s="1"/>
      <c r="D66" s="1"/>
      <c r="E66" s="1"/>
      <c r="F66" s="9" t="s">
        <v>96</v>
      </c>
      <c r="G66" s="1"/>
      <c r="H66" s="1" t="s">
        <v>52</v>
      </c>
      <c r="I66" s="288" t="str">
        <f>F21</f>
        <v>SmL</v>
      </c>
      <c r="J66" s="288"/>
      <c r="K66" s="21" t="s">
        <v>135</v>
      </c>
      <c r="L66" s="288" t="str">
        <f>F45</f>
        <v>(Sb)QL</v>
      </c>
      <c r="M66" s="288"/>
      <c r="N66" s="21" t="s">
        <v>52</v>
      </c>
      <c r="O66" s="273">
        <f>Y21</f>
        <v>-574.9999999999999</v>
      </c>
      <c r="P66" s="273"/>
      <c r="Q66" s="273"/>
      <c r="R66" s="21" t="s">
        <v>94</v>
      </c>
      <c r="S66" s="273">
        <f>AD47</f>
        <v>5051.577962496061</v>
      </c>
      <c r="T66" s="273"/>
      <c r="U66" s="273"/>
      <c r="V66" s="42" t="s">
        <v>365</v>
      </c>
      <c r="X66" s="8" t="s">
        <v>95</v>
      </c>
      <c r="Y66" s="366">
        <f>O66+S66</f>
        <v>4476.577962496061</v>
      </c>
      <c r="Z66" s="366"/>
      <c r="AA66" s="366"/>
      <c r="AB66" s="2" t="str">
        <f>AG48</f>
        <v>psi</v>
      </c>
      <c r="AC66" s="26" t="str">
        <f>IF(ABS(Y66)&lt;=ABS(AD66),"&lt;","&gt;")</f>
        <v>&lt;</v>
      </c>
      <c r="AD66" s="365">
        <f>AD63</f>
        <v>28200</v>
      </c>
      <c r="AE66" s="365"/>
      <c r="AF66" s="365"/>
      <c r="AG66" s="364" t="str">
        <f>IF(ABS(Y66)&lt;=ABS(AD66),"OK !","NO !")</f>
        <v>OK !</v>
      </c>
      <c r="AH66" s="364"/>
      <c r="AI66" s="8" t="s">
        <v>30</v>
      </c>
      <c r="AJ66" s="361">
        <f>ABS(Y66/AD66)</f>
        <v>0.15874389937929295</v>
      </c>
      <c r="AK66" s="361"/>
      <c r="AL66" s="43" t="str">
        <f>IF(AJ66&lt;&gt;AJ69,"*","M")</f>
        <v>*</v>
      </c>
      <c r="AM66" s="362">
        <f>IF(AJ66&lt;&gt;AJ69,"",E61)</f>
      </c>
      <c r="AN66" s="328"/>
      <c r="AO66" s="328"/>
      <c r="AP66" s="363"/>
      <c r="AQ66" s="362">
        <f>IF(AJ66&lt;&gt;AJ69,"",AI66)</f>
      </c>
      <c r="AR66" s="363"/>
      <c r="AS66" s="351">
        <f>IF(AJ66&lt;&gt;AJ69,"",Y66)</f>
      </c>
      <c r="AT66" s="352"/>
      <c r="AU66" s="353">
        <f>IF(AJ66&lt;&gt;AJ69,"",AD66)</f>
      </c>
      <c r="AV66" s="353"/>
      <c r="AW66" s="135">
        <f>IF(AJ66&lt;&gt;AJ69,"",AG66)</f>
      </c>
    </row>
    <row r="67" spans="1:49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1" t="s">
        <v>52</v>
      </c>
      <c r="O67" s="273">
        <f>O66</f>
        <v>-574.9999999999999</v>
      </c>
      <c r="P67" s="273"/>
      <c r="Q67" s="273"/>
      <c r="R67" s="21" t="s">
        <v>94</v>
      </c>
      <c r="S67" s="273">
        <f>AD48</f>
        <v>-5051.577962496061</v>
      </c>
      <c r="T67" s="273"/>
      <c r="U67" s="273"/>
      <c r="V67" s="87" t="s">
        <v>366</v>
      </c>
      <c r="W67" s="3"/>
      <c r="X67" s="8" t="s">
        <v>95</v>
      </c>
      <c r="Y67" s="366">
        <f>O67+S67</f>
        <v>-5626.577962496061</v>
      </c>
      <c r="Z67" s="366"/>
      <c r="AA67" s="366"/>
      <c r="AB67" s="2" t="str">
        <f>AB66</f>
        <v>psi</v>
      </c>
      <c r="AC67" s="26" t="str">
        <f>IF(ABS(Y67)&lt;=ABS(AD67),"&lt;","&gt;")</f>
        <v>&lt;</v>
      </c>
      <c r="AD67" s="365">
        <f>AD66</f>
        <v>28200</v>
      </c>
      <c r="AE67" s="365"/>
      <c r="AF67" s="365"/>
      <c r="AG67" s="364" t="str">
        <f>IF(ABS(Y67)&lt;=ABS(AD67),"OK !","NO !")</f>
        <v>OK !</v>
      </c>
      <c r="AH67" s="364"/>
      <c r="AI67" s="8"/>
      <c r="AJ67" s="361">
        <f>ABS(Y67/AD67)</f>
        <v>0.1995240412232646</v>
      </c>
      <c r="AK67" s="361"/>
      <c r="AL67" s="130" t="str">
        <f>IF(AJ67&lt;&gt;AJ69,"*","M")</f>
        <v>*</v>
      </c>
      <c r="AM67" s="379">
        <f>IF(AJ67&lt;&gt;AJ69,"",E61)</f>
      </c>
      <c r="AN67" s="197"/>
      <c r="AO67" s="197"/>
      <c r="AP67" s="380"/>
      <c r="AQ67" s="379">
        <f>IF(AJ67&lt;&gt;AJ69,"",AI66)</f>
      </c>
      <c r="AR67" s="380"/>
      <c r="AS67" s="354">
        <f>IF(AJ67&lt;&gt;AJ69,"",Y67)</f>
      </c>
      <c r="AT67" s="355"/>
      <c r="AU67" s="356">
        <f>IF(AJ67&lt;&gt;AJ69,"",AD67)</f>
      </c>
      <c r="AV67" s="356"/>
      <c r="AW67" s="136">
        <f>IF(AJ67&lt;&gt;AJ69,"",AG67)</f>
      </c>
    </row>
    <row r="68" spans="1:50" ht="9.75" customHeight="1">
      <c r="A68" s="1"/>
      <c r="B68" s="1"/>
      <c r="C68" s="1"/>
      <c r="D68" s="1"/>
      <c r="E68" s="1"/>
      <c r="F68" s="1"/>
      <c r="G68" s="1"/>
      <c r="N68" s="1"/>
      <c r="O68" s="1"/>
      <c r="P68" s="1"/>
      <c r="Q68" s="1"/>
      <c r="R68" s="1"/>
      <c r="S68" s="1"/>
      <c r="T68" s="1"/>
      <c r="U68" s="1"/>
      <c r="AC68" s="3"/>
      <c r="AJ68" s="227" t="s">
        <v>568</v>
      </c>
      <c r="AK68" s="227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"/>
    </row>
    <row r="69" spans="1:4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J69" s="274">
        <f>MAX(AJ55,AJ56,AJ58,AJ59,AJ63,AJ64,AJ66,AJ67)</f>
        <v>0.6508560601361667</v>
      </c>
      <c r="AK69" s="275"/>
      <c r="AM69" s="304" t="str">
        <f>IF(AL55="M",AM55,IF(AL56="M",AM56,IF(AL58="M",AM58,IF(AL59="M",AM59,IF(AL63="M",AM63,IF(AL64="M",AM64,IF(AL66="M",AM66,IF(AL67="M",AM67))))))))</f>
        <v>Long Side Plate</v>
      </c>
      <c r="AN69" s="304"/>
      <c r="AO69" s="304"/>
      <c r="AP69" s="304"/>
      <c r="AQ69" s="304" t="str">
        <f>IF(AL55="M",AQ55,IF(AL56="M",AQ56,IF(AL58="M",AQ58,IF(AL59="M",AQ59,IF(AL63="M",AQ63,IF(AL64="M",AQ64,IF(AL66="M",AQ66,IF(AL67="M",AQ67))))))))</f>
        <v>M</v>
      </c>
      <c r="AR69" s="304"/>
      <c r="AS69" s="350">
        <f>IF(AL55="M",AS55,IF(AL56="M",AS56,IF(AL58="M",AS58,IF(AL59="M",AS59,IF(AL63="M",AS63,IF(AL64="M",AS64,IF(AL66="M",AS66,IF(AL67="M",AS67))))))))</f>
        <v>-18354.1408958399</v>
      </c>
      <c r="AT69" s="350"/>
      <c r="AU69" s="350">
        <f>IF(AL55="M",AU55,IF(AL56="M",AU56,IF(AL58="M",AU58,IF(AL59="M",AU59,IF(AL63="M",AU63,IF(AL64="M",AU64,IF(AL66="M",AU66,IF(AL67="M",AU67))))))))</f>
        <v>28200</v>
      </c>
      <c r="AV69" s="350"/>
      <c r="AW69" s="2" t="str">
        <f>IF(AL55="M",AW55,IF(AL56="M",AW56,IF(AL58="M",AW58,IF(AL59="M",AW59,IF(AL63="M",AW63,IF(AL64="M",AW64,IF(AL66="M",AW66,IF(AL67="M",AW67))))))))</f>
        <v>OK !</v>
      </c>
    </row>
    <row r="70" spans="1:29" ht="9.75" customHeight="1">
      <c r="A70" s="6"/>
      <c r="B70" s="6"/>
      <c r="C70" s="6"/>
      <c r="D70" s="6"/>
      <c r="E70" s="6"/>
      <c r="F70" s="6"/>
      <c r="G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  <c r="AC70" s="3"/>
    </row>
    <row r="71" spans="1:29" ht="9.75" customHeight="1">
      <c r="A71" s="1"/>
      <c r="B71" s="1"/>
      <c r="C71" s="1"/>
      <c r="D71" s="1"/>
      <c r="E71" s="1"/>
      <c r="F71" s="1"/>
      <c r="G71" s="1"/>
      <c r="N71" s="1"/>
      <c r="O71" s="1"/>
      <c r="P71" s="1"/>
      <c r="Q71" s="1"/>
      <c r="R71" s="1"/>
      <c r="S71" s="1"/>
      <c r="T71" s="1"/>
      <c r="U71" s="1"/>
      <c r="AC71" s="3"/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218">
    <mergeCell ref="AC9:AG9"/>
    <mergeCell ref="AQ64:AR64"/>
    <mergeCell ref="AQ63:AR63"/>
    <mergeCell ref="AQ59:AR59"/>
    <mergeCell ref="AQ57:AR57"/>
    <mergeCell ref="AM63:AP63"/>
    <mergeCell ref="AM64:AP64"/>
    <mergeCell ref="AQ55:AR55"/>
    <mergeCell ref="AJ56:AK56"/>
    <mergeCell ref="AJ58:AK58"/>
    <mergeCell ref="AM69:AP69"/>
    <mergeCell ref="AQ69:AR69"/>
    <mergeCell ref="AQ67:AR67"/>
    <mergeCell ref="AQ66:AR66"/>
    <mergeCell ref="AM66:AP66"/>
    <mergeCell ref="AM67:AP67"/>
    <mergeCell ref="T28:U28"/>
    <mergeCell ref="T29:U29"/>
    <mergeCell ref="R40:S40"/>
    <mergeCell ref="R41:S41"/>
    <mergeCell ref="S28:S29"/>
    <mergeCell ref="P28:R28"/>
    <mergeCell ref="P29:R29"/>
    <mergeCell ref="S35:T35"/>
    <mergeCell ref="AG67:AH67"/>
    <mergeCell ref="O67:Q67"/>
    <mergeCell ref="S67:U67"/>
    <mergeCell ref="Y56:AA56"/>
    <mergeCell ref="AD56:AF56"/>
    <mergeCell ref="Y59:AA59"/>
    <mergeCell ref="AD59:AF59"/>
    <mergeCell ref="Y64:AA64"/>
    <mergeCell ref="AD64:AF64"/>
    <mergeCell ref="Y67:AA67"/>
    <mergeCell ref="AD67:AF67"/>
    <mergeCell ref="AD28:AF28"/>
    <mergeCell ref="AD35:AF35"/>
    <mergeCell ref="AD47:AF47"/>
    <mergeCell ref="AD40:AF40"/>
    <mergeCell ref="AD29:AF29"/>
    <mergeCell ref="AD36:AF36"/>
    <mergeCell ref="AD41:AF41"/>
    <mergeCell ref="AD48:AF48"/>
    <mergeCell ref="AE30:AF30"/>
    <mergeCell ref="I55:J55"/>
    <mergeCell ref="I58:J58"/>
    <mergeCell ref="I63:J63"/>
    <mergeCell ref="I66:J66"/>
    <mergeCell ref="L63:M63"/>
    <mergeCell ref="L66:M66"/>
    <mergeCell ref="AD53:AE53"/>
    <mergeCell ref="N40:P40"/>
    <mergeCell ref="Q40:Q41"/>
    <mergeCell ref="AD63:AF63"/>
    <mergeCell ref="L46:N46"/>
    <mergeCell ref="L45:N45"/>
    <mergeCell ref="AD66:AF66"/>
    <mergeCell ref="V47:W47"/>
    <mergeCell ref="L55:M55"/>
    <mergeCell ref="L58:M58"/>
    <mergeCell ref="N41:P41"/>
    <mergeCell ref="L40:M41"/>
    <mergeCell ref="O45:O46"/>
    <mergeCell ref="O56:Q56"/>
    <mergeCell ref="O55:Q55"/>
    <mergeCell ref="AG58:AH58"/>
    <mergeCell ref="Z42:Z43"/>
    <mergeCell ref="X43:Y43"/>
    <mergeCell ref="X47:X48"/>
    <mergeCell ref="Y55:AA55"/>
    <mergeCell ref="Y63:AA63"/>
    <mergeCell ref="S59:U59"/>
    <mergeCell ref="S56:U56"/>
    <mergeCell ref="AA42:AB42"/>
    <mergeCell ref="AA43:AB43"/>
    <mergeCell ref="V48:W48"/>
    <mergeCell ref="S55:U55"/>
    <mergeCell ref="AC8:AG8"/>
    <mergeCell ref="AB30:AC30"/>
    <mergeCell ref="AB31:AC31"/>
    <mergeCell ref="AD30:AD31"/>
    <mergeCell ref="AD15:AF15"/>
    <mergeCell ref="AD17:AF17"/>
    <mergeCell ref="AD21:AF21"/>
    <mergeCell ref="AG17:AH17"/>
    <mergeCell ref="AG21:AH21"/>
    <mergeCell ref="AE31:AF31"/>
    <mergeCell ref="A1:AH3"/>
    <mergeCell ref="AC6:AG6"/>
    <mergeCell ref="AC7:AD7"/>
    <mergeCell ref="AF7:AG7"/>
    <mergeCell ref="M17:N17"/>
    <mergeCell ref="P17:Q17"/>
    <mergeCell ref="S17:T17"/>
    <mergeCell ref="Y17:AA17"/>
    <mergeCell ref="V17:W17"/>
    <mergeCell ref="P21:Q21"/>
    <mergeCell ref="S21:T21"/>
    <mergeCell ref="Y21:AA21"/>
    <mergeCell ref="V21:W21"/>
    <mergeCell ref="F28:G29"/>
    <mergeCell ref="I28:J28"/>
    <mergeCell ref="I29:J29"/>
    <mergeCell ref="M21:N21"/>
    <mergeCell ref="L28:O29"/>
    <mergeCell ref="K28:K29"/>
    <mergeCell ref="H28:H29"/>
    <mergeCell ref="H30:H31"/>
    <mergeCell ref="L31:M31"/>
    <mergeCell ref="I31:J31"/>
    <mergeCell ref="I30:J30"/>
    <mergeCell ref="L30:M30"/>
    <mergeCell ref="W30:W31"/>
    <mergeCell ref="N30:N31"/>
    <mergeCell ref="O30:P31"/>
    <mergeCell ref="Q30:R31"/>
    <mergeCell ref="Y30:Z30"/>
    <mergeCell ref="F33:G34"/>
    <mergeCell ref="H33:H34"/>
    <mergeCell ref="I34:J34"/>
    <mergeCell ref="I33:J33"/>
    <mergeCell ref="K33:K34"/>
    <mergeCell ref="S30:S31"/>
    <mergeCell ref="T30:T31"/>
    <mergeCell ref="U30:V31"/>
    <mergeCell ref="L33:N33"/>
    <mergeCell ref="L34:N34"/>
    <mergeCell ref="O33:O34"/>
    <mergeCell ref="Q35:Q36"/>
    <mergeCell ref="F40:G41"/>
    <mergeCell ref="H40:H41"/>
    <mergeCell ref="I40:J40"/>
    <mergeCell ref="I41:J41"/>
    <mergeCell ref="K40:K41"/>
    <mergeCell ref="H35:H36"/>
    <mergeCell ref="I35:J35"/>
    <mergeCell ref="H42:H43"/>
    <mergeCell ref="I42:J42"/>
    <mergeCell ref="L35:M35"/>
    <mergeCell ref="O35:P35"/>
    <mergeCell ref="I43:J43"/>
    <mergeCell ref="L43:M43"/>
    <mergeCell ref="I36:J36"/>
    <mergeCell ref="L36:M36"/>
    <mergeCell ref="L42:M42"/>
    <mergeCell ref="O42:P42"/>
    <mergeCell ref="F45:G46"/>
    <mergeCell ref="H45:H46"/>
    <mergeCell ref="I45:J45"/>
    <mergeCell ref="K45:K46"/>
    <mergeCell ref="I46:J46"/>
    <mergeCell ref="X35:X36"/>
    <mergeCell ref="V35:W35"/>
    <mergeCell ref="V36:W36"/>
    <mergeCell ref="X42:Y42"/>
    <mergeCell ref="U42:V42"/>
    <mergeCell ref="R42:S43"/>
    <mergeCell ref="Q47:Q48"/>
    <mergeCell ref="S47:T47"/>
    <mergeCell ref="Q42:Q43"/>
    <mergeCell ref="O59:Q59"/>
    <mergeCell ref="O64:Q64"/>
    <mergeCell ref="S64:U64"/>
    <mergeCell ref="H47:H48"/>
    <mergeCell ref="I47:J47"/>
    <mergeCell ref="L47:M47"/>
    <mergeCell ref="O47:P47"/>
    <mergeCell ref="I48:J48"/>
    <mergeCell ref="L48:M48"/>
    <mergeCell ref="S63:U63"/>
    <mergeCell ref="AM56:AP56"/>
    <mergeCell ref="AM58:AP58"/>
    <mergeCell ref="AM59:AP59"/>
    <mergeCell ref="O66:Q66"/>
    <mergeCell ref="S66:U66"/>
    <mergeCell ref="Y66:AA66"/>
    <mergeCell ref="O58:Q58"/>
    <mergeCell ref="S58:U58"/>
    <mergeCell ref="Y58:AA58"/>
    <mergeCell ref="O63:Q63"/>
    <mergeCell ref="AQ56:AR56"/>
    <mergeCell ref="AG66:AH66"/>
    <mergeCell ref="AG55:AH55"/>
    <mergeCell ref="AD55:AF55"/>
    <mergeCell ref="AG56:AH56"/>
    <mergeCell ref="AG59:AH59"/>
    <mergeCell ref="AG64:AH64"/>
    <mergeCell ref="AG63:AH63"/>
    <mergeCell ref="AD58:AF58"/>
    <mergeCell ref="AJ59:AK59"/>
    <mergeCell ref="AJ69:AK69"/>
    <mergeCell ref="AJ63:AK63"/>
    <mergeCell ref="AJ64:AK64"/>
    <mergeCell ref="AJ66:AK66"/>
    <mergeCell ref="AJ67:AK67"/>
    <mergeCell ref="AJ68:AK68"/>
    <mergeCell ref="AJ53:AK53"/>
    <mergeCell ref="AJ54:AK54"/>
    <mergeCell ref="AJ55:AK55"/>
    <mergeCell ref="AM55:AP55"/>
    <mergeCell ref="AS56:AT56"/>
    <mergeCell ref="AU56:AV56"/>
    <mergeCell ref="AS55:AT55"/>
    <mergeCell ref="AU55:AV55"/>
    <mergeCell ref="AS58:AT58"/>
    <mergeCell ref="AU58:AV58"/>
    <mergeCell ref="AS59:AT59"/>
    <mergeCell ref="AU59:AV59"/>
    <mergeCell ref="AS69:AT69"/>
    <mergeCell ref="AU69:AV69"/>
    <mergeCell ref="AS63:AT63"/>
    <mergeCell ref="AU63:AV63"/>
    <mergeCell ref="AS64:AT64"/>
    <mergeCell ref="AU64:AV64"/>
    <mergeCell ref="AS66:AT66"/>
    <mergeCell ref="AU66:AV66"/>
    <mergeCell ref="AS67:AT67"/>
    <mergeCell ref="AU67:AV6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AP150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34" ht="9.75" customHeight="1">
      <c r="A5" s="6"/>
      <c r="B5" s="6" t="s">
        <v>666</v>
      </c>
      <c r="C5" s="6"/>
      <c r="D5" s="6"/>
      <c r="E5" s="7" t="str">
        <f>project</f>
        <v>Programming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5"/>
      <c r="U5" s="5"/>
      <c r="V5" s="5"/>
      <c r="Y5" s="3"/>
      <c r="Z5" s="6" t="s">
        <v>667</v>
      </c>
      <c r="AA5" s="3"/>
      <c r="AB5" s="3"/>
      <c r="AC5" s="377" t="str">
        <f>docno</f>
        <v>SC - RPV - 100</v>
      </c>
      <c r="AD5" s="377"/>
      <c r="AE5" s="377"/>
      <c r="AF5" s="377"/>
      <c r="AG5" s="377"/>
      <c r="AH5" s="4"/>
    </row>
    <row r="6" spans="1:34" ht="9.75" customHeight="1">
      <c r="A6" s="6"/>
      <c r="B6" s="6" t="s">
        <v>668</v>
      </c>
      <c r="C6" s="6"/>
      <c r="D6" s="6"/>
      <c r="E6" s="7" t="str">
        <f>itemno</f>
        <v>13-17 Example, P430~1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Y6" s="6"/>
      <c r="Z6" s="6" t="s">
        <v>669</v>
      </c>
      <c r="AA6" s="3"/>
      <c r="AB6" s="3"/>
      <c r="AC6" s="311">
        <v>2</v>
      </c>
      <c r="AD6" s="311"/>
      <c r="AE6" s="8" t="s">
        <v>670</v>
      </c>
      <c r="AF6" s="304" t="str">
        <f>sheetqty</f>
        <v>x</v>
      </c>
      <c r="AG6" s="304"/>
      <c r="AH6" s="4"/>
    </row>
    <row r="7" spans="1:34" ht="9.75" customHeight="1">
      <c r="A7" s="6"/>
      <c r="B7" s="6" t="s">
        <v>671</v>
      </c>
      <c r="C7" s="6"/>
      <c r="D7" s="6"/>
      <c r="E7" s="7" t="str">
        <f>service</f>
        <v>Rectangular Vessel</v>
      </c>
      <c r="F7" s="6"/>
      <c r="G7" s="6"/>
      <c r="H7" s="6"/>
      <c r="I7" s="6"/>
      <c r="J7" s="6"/>
      <c r="K7" s="6" t="s">
        <v>683</v>
      </c>
      <c r="L7" s="6"/>
      <c r="M7" s="6"/>
      <c r="N7" s="6"/>
      <c r="O7" s="6"/>
      <c r="P7" s="6"/>
      <c r="Q7" s="6"/>
      <c r="R7" s="6"/>
      <c r="S7" s="6"/>
      <c r="Y7" s="6"/>
      <c r="Z7" s="3" t="s">
        <v>672</v>
      </c>
      <c r="AA7" s="3"/>
      <c r="AB7" s="3"/>
      <c r="AC7" s="377" t="str">
        <f>date</f>
        <v>2018.  2.  10.</v>
      </c>
      <c r="AD7" s="377"/>
      <c r="AE7" s="377"/>
      <c r="AF7" s="377"/>
      <c r="AG7" s="377"/>
      <c r="AH7" s="3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6" t="s">
        <v>673</v>
      </c>
      <c r="AA8" s="3"/>
      <c r="AB8" s="3"/>
      <c r="AC8" s="377">
        <f>revno</f>
        <v>0</v>
      </c>
      <c r="AD8" s="377"/>
      <c r="AE8" s="377"/>
      <c r="AF8" s="377"/>
      <c r="AG8" s="377"/>
    </row>
    <row r="9" spans="1:29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9.75" customHeight="1">
      <c r="A10" s="1"/>
      <c r="B10" s="1"/>
      <c r="C10" s="12" t="s">
        <v>714</v>
      </c>
      <c r="D10" s="9" t="s">
        <v>674</v>
      </c>
      <c r="E10" s="1"/>
      <c r="F10" s="1"/>
      <c r="G10" s="1"/>
      <c r="H10" s="1"/>
      <c r="I10" s="1"/>
      <c r="J10" s="1"/>
      <c r="K10" s="21" t="s">
        <v>675</v>
      </c>
      <c r="L10" s="28" t="s">
        <v>676</v>
      </c>
      <c r="M10" s="35" t="s">
        <v>677</v>
      </c>
      <c r="N10" s="28" t="s">
        <v>678</v>
      </c>
      <c r="O10" s="1"/>
      <c r="P10" s="1"/>
      <c r="Q10" s="1"/>
      <c r="R10" s="1"/>
      <c r="S10" s="1"/>
      <c r="T10" s="1"/>
      <c r="U10" s="1"/>
      <c r="AC10" s="3"/>
    </row>
    <row r="11" spans="1:36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3"/>
      <c r="V11" s="3"/>
      <c r="W11" s="3"/>
      <c r="X11" s="3"/>
      <c r="Y11" s="3"/>
      <c r="Z11" s="3"/>
      <c r="AA11" s="3"/>
      <c r="AB11" s="3"/>
      <c r="AJ11" s="6"/>
    </row>
    <row r="12" spans="1:28" ht="9.75" customHeight="1">
      <c r="A12" s="6"/>
      <c r="B12" s="6"/>
      <c r="C12" s="62" t="s">
        <v>748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 t="s">
        <v>770</v>
      </c>
      <c r="Q12" s="6"/>
      <c r="R12" s="6"/>
      <c r="S12" s="6"/>
      <c r="T12" s="6"/>
      <c r="U12" s="6"/>
      <c r="V12" s="3"/>
      <c r="W12" s="3"/>
      <c r="X12" s="62" t="s">
        <v>774</v>
      </c>
      <c r="Y12" s="3"/>
      <c r="Z12" s="3"/>
      <c r="AA12" s="3"/>
      <c r="AB12" s="3"/>
    </row>
    <row r="13" spans="1:36" ht="9.75" customHeight="1">
      <c r="A13" s="1"/>
      <c r="B13" s="1"/>
      <c r="C13" s="1"/>
      <c r="D13" s="1"/>
      <c r="E13" s="1"/>
      <c r="F13" s="1"/>
      <c r="G13" s="1"/>
      <c r="O13" s="3"/>
      <c r="W13" s="1"/>
      <c r="X13" s="1"/>
      <c r="Y13" s="1"/>
      <c r="Z13" s="1"/>
      <c r="AG13" s="1"/>
      <c r="AH13" s="1"/>
      <c r="AI13" s="1"/>
      <c r="AJ13" s="1"/>
    </row>
    <row r="14" spans="1:36" ht="9.75" customHeight="1">
      <c r="A14" s="1"/>
      <c r="B14" s="1"/>
      <c r="C14" s="1"/>
      <c r="D14" s="1"/>
      <c r="E14" s="1"/>
      <c r="F14" s="1"/>
      <c r="G14" s="1"/>
      <c r="O14" s="3"/>
      <c r="W14" s="1"/>
      <c r="X14" s="188" t="s">
        <v>771</v>
      </c>
      <c r="Y14" s="1"/>
      <c r="Z14" s="1"/>
      <c r="AA14" s="1"/>
      <c r="AB14" s="9" t="s">
        <v>772</v>
      </c>
      <c r="AC14" s="1" t="s">
        <v>44</v>
      </c>
      <c r="AD14" s="406">
        <f>dpress</f>
        <v>-115</v>
      </c>
      <c r="AE14" s="406"/>
      <c r="AF14" s="1" t="str">
        <f>dpu</f>
        <v>psi.g</v>
      </c>
      <c r="AG14" s="1"/>
      <c r="AH14" s="1"/>
      <c r="AI14" s="1"/>
      <c r="AJ14" s="1"/>
    </row>
    <row r="15" spans="1:36" ht="9.75" customHeight="1">
      <c r="A15" s="6"/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W15" s="6"/>
      <c r="X15" s="9" t="s">
        <v>757</v>
      </c>
      <c r="Y15" s="1"/>
      <c r="Z15" s="1"/>
      <c r="AB15" s="42" t="s">
        <v>759</v>
      </c>
      <c r="AC15" s="2" t="s">
        <v>44</v>
      </c>
      <c r="AD15" s="404">
        <f>lh</f>
        <v>342.9</v>
      </c>
      <c r="AE15" s="404"/>
      <c r="AF15" s="6" t="s">
        <v>773</v>
      </c>
      <c r="AG15" s="6"/>
      <c r="AH15" s="6"/>
      <c r="AI15" s="6"/>
      <c r="AJ15" s="6"/>
    </row>
    <row r="16" spans="1:36" ht="9.75" customHeight="1">
      <c r="A16" s="1"/>
      <c r="B16" s="1"/>
      <c r="C16" s="1"/>
      <c r="D16" s="1"/>
      <c r="E16" s="1"/>
      <c r="F16" s="1"/>
      <c r="G16" s="1"/>
      <c r="O16" s="3"/>
      <c r="W16" s="1"/>
      <c r="AB16" s="9" t="s">
        <v>760</v>
      </c>
      <c r="AC16" s="1" t="s">
        <v>44</v>
      </c>
      <c r="AD16" s="405">
        <f>lho</f>
        <v>374.65</v>
      </c>
      <c r="AE16" s="405"/>
      <c r="AF16" s="2" t="s">
        <v>773</v>
      </c>
      <c r="AG16" s="1"/>
      <c r="AH16" s="1"/>
      <c r="AI16" s="1"/>
      <c r="AJ16" s="1"/>
    </row>
    <row r="17" spans="1:36" ht="9.75" customHeight="1">
      <c r="A17" s="1"/>
      <c r="B17" s="1"/>
      <c r="C17" s="1"/>
      <c r="D17" s="1"/>
      <c r="E17" s="1"/>
      <c r="F17" s="1"/>
      <c r="G17" s="1"/>
      <c r="O17" s="3"/>
      <c r="W17" s="1"/>
      <c r="X17" s="1"/>
      <c r="Y17" s="1"/>
      <c r="Z17" s="1"/>
      <c r="AA17" s="1"/>
      <c r="AB17" s="42" t="s">
        <v>761</v>
      </c>
      <c r="AC17" s="2" t="s">
        <v>44</v>
      </c>
      <c r="AD17" s="404">
        <f>lt2</f>
        <v>25.4</v>
      </c>
      <c r="AE17" s="404"/>
      <c r="AF17" s="1" t="s">
        <v>773</v>
      </c>
      <c r="AG17" s="1"/>
      <c r="AH17" s="1"/>
      <c r="AI17" s="1"/>
      <c r="AJ17" s="1"/>
    </row>
    <row r="18" spans="1:36" ht="9.75" customHeight="1">
      <c r="A18" s="1"/>
      <c r="B18" s="1"/>
      <c r="C18" s="1"/>
      <c r="D18" s="1"/>
      <c r="E18" s="1"/>
      <c r="F18" s="1"/>
      <c r="G18" s="1"/>
      <c r="O18" s="3"/>
      <c r="W18" s="1"/>
      <c r="X18" s="9" t="s">
        <v>758</v>
      </c>
      <c r="Y18" s="1"/>
      <c r="Z18" s="1"/>
      <c r="AA18" s="1"/>
      <c r="AB18" s="9" t="s">
        <v>762</v>
      </c>
      <c r="AC18" s="1" t="s">
        <v>44</v>
      </c>
      <c r="AD18" s="405">
        <f>sh</f>
        <v>152.39999999999998</v>
      </c>
      <c r="AE18" s="405"/>
      <c r="AF18" s="2" t="s">
        <v>773</v>
      </c>
      <c r="AG18" s="1"/>
      <c r="AH18" s="1"/>
      <c r="AI18" s="1"/>
      <c r="AJ18" s="1"/>
    </row>
    <row r="19" spans="1:36" ht="9.75" customHeight="1">
      <c r="A19" s="1"/>
      <c r="B19" s="1"/>
      <c r="C19" s="1"/>
      <c r="D19" s="1"/>
      <c r="E19" s="1"/>
      <c r="F19" s="1"/>
      <c r="G19" s="1"/>
      <c r="O19" s="3"/>
      <c r="W19" s="1"/>
      <c r="AB19" s="7" t="s">
        <v>763</v>
      </c>
      <c r="AC19" s="6" t="s">
        <v>44</v>
      </c>
      <c r="AD19" s="405">
        <f>sho</f>
        <v>228.59999999999997</v>
      </c>
      <c r="AE19" s="405"/>
      <c r="AF19" s="1" t="s">
        <v>773</v>
      </c>
      <c r="AG19" s="1"/>
      <c r="AH19" s="1"/>
      <c r="AI19" s="1"/>
      <c r="AJ19" s="1"/>
    </row>
    <row r="20" spans="1:36" ht="9.75" customHeight="1">
      <c r="A20" s="6"/>
      <c r="B20" s="6"/>
      <c r="C20" s="6"/>
      <c r="D20" s="6"/>
      <c r="E20" s="6"/>
      <c r="F20" s="6"/>
      <c r="G20" s="6"/>
      <c r="H20" s="3"/>
      <c r="I20" s="3"/>
      <c r="J20" s="3"/>
      <c r="K20" s="3"/>
      <c r="L20" s="3"/>
      <c r="M20" s="3"/>
      <c r="N20" s="3"/>
      <c r="W20" s="6"/>
      <c r="X20" s="6"/>
      <c r="Y20" s="6"/>
      <c r="Z20" s="6"/>
      <c r="AA20" s="6"/>
      <c r="AB20" s="42" t="s">
        <v>764</v>
      </c>
      <c r="AC20" s="2" t="s">
        <v>44</v>
      </c>
      <c r="AD20" s="404">
        <f>st1</f>
        <v>15.875</v>
      </c>
      <c r="AE20" s="404"/>
      <c r="AF20" s="6" t="s">
        <v>773</v>
      </c>
      <c r="AG20" s="6"/>
      <c r="AH20" s="6"/>
      <c r="AI20" s="6"/>
      <c r="AJ20" s="6"/>
    </row>
    <row r="21" spans="1:36" ht="9.75" customHeight="1">
      <c r="A21" s="1"/>
      <c r="B21" s="1"/>
      <c r="C21" s="1"/>
      <c r="D21" s="1"/>
      <c r="E21" s="1"/>
      <c r="F21" s="1"/>
      <c r="G21" s="1"/>
      <c r="O21" s="3"/>
      <c r="W21" s="1"/>
      <c r="X21" s="9" t="s">
        <v>766</v>
      </c>
      <c r="Y21" s="1"/>
      <c r="Z21" s="1"/>
      <c r="AA21" s="1"/>
      <c r="AB21" s="9" t="s">
        <v>765</v>
      </c>
      <c r="AC21" s="1" t="s">
        <v>44</v>
      </c>
      <c r="AD21" s="405">
        <f>endplt5</f>
        <v>25</v>
      </c>
      <c r="AE21" s="405"/>
      <c r="AF21" s="2" t="s">
        <v>773</v>
      </c>
      <c r="AG21" s="1"/>
      <c r="AH21" s="1"/>
      <c r="AI21" s="1"/>
      <c r="AJ21" s="1"/>
    </row>
    <row r="22" spans="1:36" ht="9.75" customHeight="1">
      <c r="A22" s="1"/>
      <c r="B22" s="1"/>
      <c r="C22" s="1"/>
      <c r="D22" s="1"/>
      <c r="E22" s="1"/>
      <c r="F22" s="1"/>
      <c r="G22" s="1"/>
      <c r="O22" s="3"/>
      <c r="W22" s="1"/>
      <c r="X22" s="7" t="s">
        <v>767</v>
      </c>
      <c r="Y22" s="6"/>
      <c r="Z22" s="6"/>
      <c r="AA22" s="6"/>
      <c r="AB22" s="6"/>
      <c r="AC22" s="6" t="s">
        <v>44</v>
      </c>
      <c r="AD22" s="365">
        <f>vsllgt</f>
        <v>1000</v>
      </c>
      <c r="AE22" s="365"/>
      <c r="AF22" s="1" t="s">
        <v>773</v>
      </c>
      <c r="AG22" s="1"/>
      <c r="AH22" s="1"/>
      <c r="AI22" s="1"/>
      <c r="AJ22" s="1"/>
    </row>
    <row r="23" spans="1:36" ht="9.75" customHeight="1">
      <c r="A23" s="6"/>
      <c r="B23" s="6"/>
      <c r="C23" s="6"/>
      <c r="D23" s="6"/>
      <c r="E23" s="6"/>
      <c r="F23" s="6"/>
      <c r="G23" s="6"/>
      <c r="H23" s="3"/>
      <c r="I23" s="3"/>
      <c r="J23" s="3"/>
      <c r="K23" s="3"/>
      <c r="L23" s="3"/>
      <c r="M23" s="3"/>
      <c r="N23" s="3"/>
      <c r="W23" s="6"/>
      <c r="X23" s="7" t="s">
        <v>768</v>
      </c>
      <c r="Y23" s="6"/>
      <c r="Z23" s="6"/>
      <c r="AA23" s="6"/>
      <c r="AB23" s="6"/>
      <c r="AC23" s="6" t="s">
        <v>44</v>
      </c>
      <c r="AD23" s="365">
        <f>mys</f>
        <v>38000</v>
      </c>
      <c r="AE23" s="365"/>
      <c r="AF23" s="6" t="str">
        <f>upsx(dpu)</f>
        <v>psi</v>
      </c>
      <c r="AG23" s="6"/>
      <c r="AH23" s="6"/>
      <c r="AI23" s="6"/>
      <c r="AJ23" s="6"/>
    </row>
    <row r="24" spans="1:36" ht="9.75" customHeight="1">
      <c r="A24" s="6"/>
      <c r="B24" s="6"/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X24" s="42" t="s">
        <v>103</v>
      </c>
      <c r="AC24" s="2" t="s">
        <v>44</v>
      </c>
      <c r="AD24" s="293">
        <f>mas</f>
        <v>18800</v>
      </c>
      <c r="AE24" s="293"/>
      <c r="AF24" s="6" t="str">
        <f>AF23</f>
        <v>psi</v>
      </c>
      <c r="AG24" s="6"/>
      <c r="AH24" s="6"/>
      <c r="AI24" s="6"/>
      <c r="AJ24" s="6"/>
    </row>
    <row r="25" spans="1:21" ht="9.75" customHeight="1">
      <c r="A25" s="1"/>
      <c r="B25" s="1"/>
      <c r="C25" s="62" t="s">
        <v>715</v>
      </c>
      <c r="D25" s="1"/>
      <c r="E25" s="1"/>
      <c r="F25" s="1"/>
      <c r="G25" s="1"/>
      <c r="N25" s="1"/>
      <c r="O25" s="1"/>
      <c r="P25" s="1"/>
      <c r="Q25" s="1"/>
      <c r="R25" s="1"/>
      <c r="S25" s="1"/>
      <c r="T25" s="1"/>
      <c r="U25" s="1"/>
    </row>
    <row r="26" spans="1:29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AC26" s="3"/>
    </row>
    <row r="27" spans="1:33" ht="9.75" customHeight="1">
      <c r="A27" s="1"/>
      <c r="B27" s="1"/>
      <c r="C27" s="27" t="s">
        <v>679</v>
      </c>
      <c r="D27" s="1"/>
      <c r="E27" s="1"/>
      <c r="L27" s="1"/>
      <c r="M27" s="1"/>
      <c r="N27" s="1"/>
      <c r="O27" s="1"/>
      <c r="P27" s="1"/>
      <c r="Q27" s="1"/>
      <c r="R27" s="1"/>
      <c r="S27" s="1"/>
      <c r="AC27" s="1"/>
      <c r="AD27" s="1"/>
      <c r="AG27" s="3"/>
    </row>
    <row r="28" spans="1:34" ht="9.75" customHeight="1">
      <c r="A28" s="1"/>
      <c r="B28" s="1"/>
      <c r="C28" s="1"/>
      <c r="D28" s="372" t="s">
        <v>684</v>
      </c>
      <c r="E28" s="372"/>
      <c r="F28" s="367" t="s">
        <v>677</v>
      </c>
      <c r="G28" s="373" t="s">
        <v>686</v>
      </c>
      <c r="H28" s="373"/>
      <c r="I28" s="373"/>
      <c r="J28" s="373"/>
      <c r="K28" s="369" t="s">
        <v>677</v>
      </c>
      <c r="N28" s="275">
        <f>AD14</f>
        <v>-115</v>
      </c>
      <c r="O28" s="275"/>
      <c r="P28" s="21" t="s">
        <v>680</v>
      </c>
      <c r="Q28" s="370">
        <f>AD15</f>
        <v>342.9</v>
      </c>
      <c r="R28" s="275"/>
      <c r="S28" s="21" t="s">
        <v>680</v>
      </c>
      <c r="T28" s="370">
        <f>AD18</f>
        <v>152.39999999999998</v>
      </c>
      <c r="U28" s="275"/>
      <c r="AC28" s="381" t="s">
        <v>52</v>
      </c>
      <c r="AD28" s="383">
        <f>IF(dpress&gt;=0,"***",N28*Q28*T28/(2*(M29*P29+S29*V29)))</f>
        <v>-270</v>
      </c>
      <c r="AE28" s="383"/>
      <c r="AF28" s="383"/>
      <c r="AG28" s="382" t="str">
        <f>upsx(dpu)</f>
        <v>psi</v>
      </c>
      <c r="AH28" s="382"/>
    </row>
    <row r="29" spans="1:36" ht="9.75" customHeight="1">
      <c r="A29" s="6"/>
      <c r="B29" s="6"/>
      <c r="C29" s="6"/>
      <c r="D29" s="372"/>
      <c r="E29" s="372"/>
      <c r="F29" s="367"/>
      <c r="G29" s="23" t="s">
        <v>685</v>
      </c>
      <c r="H29" s="23"/>
      <c r="I29" s="23"/>
      <c r="J29" s="23"/>
      <c r="K29" s="369"/>
      <c r="L29" s="23" t="s">
        <v>687</v>
      </c>
      <c r="M29" s="384">
        <f>AD20</f>
        <v>15.875</v>
      </c>
      <c r="N29" s="227"/>
      <c r="O29" s="22" t="s">
        <v>680</v>
      </c>
      <c r="P29" s="384">
        <f>T28</f>
        <v>152.39999999999998</v>
      </c>
      <c r="Q29" s="227"/>
      <c r="R29" s="22" t="s">
        <v>61</v>
      </c>
      <c r="S29" s="384">
        <f>AD17</f>
        <v>25.4</v>
      </c>
      <c r="T29" s="227"/>
      <c r="U29" s="22" t="s">
        <v>680</v>
      </c>
      <c r="V29" s="384">
        <f>Q28</f>
        <v>342.9</v>
      </c>
      <c r="W29" s="227"/>
      <c r="X29" s="22" t="s">
        <v>89</v>
      </c>
      <c r="AC29" s="381"/>
      <c r="AD29" s="383"/>
      <c r="AE29" s="383"/>
      <c r="AF29" s="383"/>
      <c r="AG29" s="382"/>
      <c r="AH29" s="382"/>
      <c r="AJ29" s="6"/>
    </row>
    <row r="30" spans="1:34" ht="9.75" customHeight="1">
      <c r="A30" s="1"/>
      <c r="B30" s="1"/>
      <c r="C30" s="1"/>
      <c r="D30" s="27" t="s">
        <v>688</v>
      </c>
      <c r="E30" s="1"/>
      <c r="F30" s="1" t="s">
        <v>677</v>
      </c>
      <c r="G30" s="1" t="s">
        <v>689</v>
      </c>
      <c r="K30" s="8" t="s">
        <v>52</v>
      </c>
      <c r="L30" s="275">
        <f>N28</f>
        <v>-115</v>
      </c>
      <c r="M30" s="275"/>
      <c r="N30" s="21" t="s">
        <v>680</v>
      </c>
      <c r="O30" s="370">
        <f>Q28</f>
        <v>342.9</v>
      </c>
      <c r="P30" s="275"/>
      <c r="Q30" s="21" t="s">
        <v>78</v>
      </c>
      <c r="R30" s="21">
        <v>2</v>
      </c>
      <c r="S30" s="21" t="s">
        <v>78</v>
      </c>
      <c r="T30" s="370">
        <f>M29</f>
        <v>15.875</v>
      </c>
      <c r="U30" s="275"/>
      <c r="AC30" s="8" t="s">
        <v>52</v>
      </c>
      <c r="AD30" s="366">
        <f>IF(dpress&gt;=0,"***",L30*O30/R30/T30)</f>
        <v>-1242</v>
      </c>
      <c r="AE30" s="366"/>
      <c r="AF30" s="366"/>
      <c r="AG30" s="2" t="str">
        <f>upsx(dpu)</f>
        <v>psi</v>
      </c>
      <c r="AH30" s="3"/>
    </row>
    <row r="31" spans="1:34" ht="9.75" customHeight="1">
      <c r="A31" s="6"/>
      <c r="B31" s="6"/>
      <c r="C31" s="6"/>
      <c r="D31" s="372" t="s">
        <v>690</v>
      </c>
      <c r="E31" s="372"/>
      <c r="F31" s="367" t="s">
        <v>677</v>
      </c>
      <c r="G31" s="385" t="s">
        <v>691</v>
      </c>
      <c r="H31" s="385"/>
      <c r="I31" s="385"/>
      <c r="J31" s="369" t="s">
        <v>88</v>
      </c>
      <c r="K31" s="21" t="s">
        <v>38</v>
      </c>
      <c r="L31" s="369" t="s">
        <v>694</v>
      </c>
      <c r="M31" s="369" t="s">
        <v>695</v>
      </c>
      <c r="N31" s="369" t="s">
        <v>677</v>
      </c>
      <c r="O31" s="275">
        <f>PI()</f>
        <v>3.141592653589793</v>
      </c>
      <c r="P31" s="275"/>
      <c r="Q31" s="2" t="s">
        <v>60</v>
      </c>
      <c r="R31" s="8" t="s">
        <v>21</v>
      </c>
      <c r="S31" s="304">
        <f>moetema(mindex(shellm,2),dtemp,dtu,dpu)</f>
        <v>25850000</v>
      </c>
      <c r="T31" s="304"/>
      <c r="V31" s="369" t="s">
        <v>88</v>
      </c>
      <c r="W31" s="370">
        <f>T30</f>
        <v>15.875</v>
      </c>
      <c r="X31" s="275"/>
      <c r="Y31" s="369" t="s">
        <v>694</v>
      </c>
      <c r="Z31" s="369" t="s">
        <v>21</v>
      </c>
      <c r="AA31" s="386">
        <f>cfbuckling(Q28,T28,1)</f>
        <v>5.8374999999999995</v>
      </c>
      <c r="AB31" s="386"/>
      <c r="AC31" s="381" t="s">
        <v>52</v>
      </c>
      <c r="AD31" s="383">
        <f>IF(dpress&gt;=0,"***",O31^2*S31/(O32*(Q32-S32^2))*(W31/W32)^2*AA31)</f>
        <v>1479864.942262415</v>
      </c>
      <c r="AE31" s="383"/>
      <c r="AF31" s="383"/>
      <c r="AG31" s="382" t="str">
        <f>upsx(dpu)</f>
        <v>psi</v>
      </c>
      <c r="AH31" s="382"/>
    </row>
    <row r="32" spans="1:34" ht="9.75" customHeight="1">
      <c r="A32" s="1"/>
      <c r="B32" s="1"/>
      <c r="C32" s="1"/>
      <c r="D32" s="372"/>
      <c r="E32" s="372"/>
      <c r="F32" s="367"/>
      <c r="G32" s="227" t="s">
        <v>692</v>
      </c>
      <c r="H32" s="227"/>
      <c r="I32" s="227"/>
      <c r="J32" s="369"/>
      <c r="K32" s="22" t="s">
        <v>693</v>
      </c>
      <c r="L32" s="369"/>
      <c r="M32" s="369"/>
      <c r="N32" s="369"/>
      <c r="O32" s="10">
        <v>12</v>
      </c>
      <c r="P32" s="22" t="s">
        <v>88</v>
      </c>
      <c r="Q32" s="22">
        <v>1</v>
      </c>
      <c r="R32" s="22" t="s">
        <v>83</v>
      </c>
      <c r="S32" s="388">
        <v>0.3</v>
      </c>
      <c r="T32" s="388"/>
      <c r="U32" s="10" t="s">
        <v>696</v>
      </c>
      <c r="V32" s="369"/>
      <c r="W32" s="384">
        <f>P29</f>
        <v>152.39999999999998</v>
      </c>
      <c r="X32" s="227"/>
      <c r="Y32" s="369"/>
      <c r="Z32" s="369"/>
      <c r="AA32" s="386"/>
      <c r="AB32" s="386"/>
      <c r="AC32" s="381"/>
      <c r="AD32" s="383"/>
      <c r="AE32" s="383"/>
      <c r="AF32" s="383"/>
      <c r="AG32" s="382"/>
      <c r="AH32" s="382"/>
    </row>
    <row r="33" spans="1:34" ht="9.75" customHeight="1">
      <c r="A33" s="1"/>
      <c r="B33" s="1"/>
      <c r="C33" s="1"/>
      <c r="D33" s="27" t="s">
        <v>697</v>
      </c>
      <c r="E33" s="1"/>
      <c r="F33" s="1" t="s">
        <v>52</v>
      </c>
      <c r="G33" s="1" t="s">
        <v>698</v>
      </c>
      <c r="L33" s="8" t="s">
        <v>52</v>
      </c>
      <c r="M33" s="387">
        <f>AD23</f>
        <v>38000</v>
      </c>
      <c r="N33" s="304"/>
      <c r="O33" s="21" t="s">
        <v>83</v>
      </c>
      <c r="P33" s="275">
        <f>M33</f>
        <v>38000</v>
      </c>
      <c r="Q33" s="275"/>
      <c r="R33" s="2" t="s">
        <v>704</v>
      </c>
      <c r="S33" s="21" t="s">
        <v>705</v>
      </c>
      <c r="T33" s="273">
        <f>AD31</f>
        <v>1479864.942262415</v>
      </c>
      <c r="U33" s="275"/>
      <c r="V33" s="275"/>
      <c r="AC33" s="8" t="s">
        <v>52</v>
      </c>
      <c r="AD33" s="366">
        <f>IF(dpress&gt;=0,"***",M33-P33^2/4/T33)</f>
        <v>37756.05882017307</v>
      </c>
      <c r="AE33" s="366"/>
      <c r="AF33" s="366"/>
      <c r="AG33" s="2" t="str">
        <f>AG31</f>
        <v>psi</v>
      </c>
      <c r="AH33" s="3"/>
    </row>
    <row r="34" spans="1:34" ht="9.75" customHeight="1">
      <c r="A34" s="1"/>
      <c r="B34" s="1"/>
      <c r="C34" s="1"/>
      <c r="D34" s="372" t="s">
        <v>699</v>
      </c>
      <c r="E34" s="372"/>
      <c r="F34" s="367" t="s">
        <v>677</v>
      </c>
      <c r="G34" s="385" t="s">
        <v>691</v>
      </c>
      <c r="H34" s="385"/>
      <c r="I34" s="385"/>
      <c r="J34" s="369" t="s">
        <v>88</v>
      </c>
      <c r="K34" s="21" t="s">
        <v>38</v>
      </c>
      <c r="L34" s="369" t="s">
        <v>694</v>
      </c>
      <c r="M34" s="369" t="s">
        <v>701</v>
      </c>
      <c r="N34" s="369" t="s">
        <v>677</v>
      </c>
      <c r="O34" s="275">
        <f>PI()</f>
        <v>3.141592653589793</v>
      </c>
      <c r="P34" s="275"/>
      <c r="Q34" s="2" t="s">
        <v>60</v>
      </c>
      <c r="R34" s="8" t="s">
        <v>21</v>
      </c>
      <c r="S34" s="304">
        <f>S31</f>
        <v>25850000</v>
      </c>
      <c r="T34" s="304"/>
      <c r="V34" s="369" t="s">
        <v>88</v>
      </c>
      <c r="W34" s="370">
        <f>W31</f>
        <v>15.875</v>
      </c>
      <c r="X34" s="275"/>
      <c r="Y34" s="369" t="s">
        <v>694</v>
      </c>
      <c r="Z34" s="369" t="s">
        <v>21</v>
      </c>
      <c r="AA34" s="386">
        <f>cfbuckling(Q28,T28,2)</f>
        <v>11.354320987654322</v>
      </c>
      <c r="AB34" s="386"/>
      <c r="AC34" s="381" t="s">
        <v>52</v>
      </c>
      <c r="AD34" s="383">
        <f>IF(dpress&gt;=0,"***",O34^2*S34/(O35*(Q35-S35^2))*(W34/W35)^2*AA34)</f>
        <v>66853.82958520472</v>
      </c>
      <c r="AE34" s="383"/>
      <c r="AF34" s="383"/>
      <c r="AG34" s="382" t="str">
        <f>upsx(dpu)</f>
        <v>psi</v>
      </c>
      <c r="AH34" s="382"/>
    </row>
    <row r="35" spans="1:34" ht="9.75" customHeight="1">
      <c r="A35" s="6"/>
      <c r="B35" s="6"/>
      <c r="C35" s="6"/>
      <c r="D35" s="372"/>
      <c r="E35" s="372"/>
      <c r="F35" s="367"/>
      <c r="G35" s="227" t="s">
        <v>692</v>
      </c>
      <c r="H35" s="227"/>
      <c r="I35" s="227"/>
      <c r="J35" s="369"/>
      <c r="K35" s="22" t="s">
        <v>700</v>
      </c>
      <c r="L35" s="369"/>
      <c r="M35" s="369"/>
      <c r="N35" s="369"/>
      <c r="O35" s="10">
        <v>12</v>
      </c>
      <c r="P35" s="22" t="s">
        <v>88</v>
      </c>
      <c r="Q35" s="22">
        <v>1</v>
      </c>
      <c r="R35" s="22" t="s">
        <v>83</v>
      </c>
      <c r="S35" s="227">
        <f>S32</f>
        <v>0.3</v>
      </c>
      <c r="T35" s="227"/>
      <c r="U35" s="10" t="s">
        <v>696</v>
      </c>
      <c r="V35" s="369"/>
      <c r="W35" s="384">
        <f>IF(AD18/AD15&gt;=0.258,AD22,AD18)</f>
        <v>1000</v>
      </c>
      <c r="X35" s="227"/>
      <c r="Y35" s="369"/>
      <c r="Z35" s="369"/>
      <c r="AA35" s="386"/>
      <c r="AB35" s="386"/>
      <c r="AC35" s="381"/>
      <c r="AD35" s="383"/>
      <c r="AE35" s="383"/>
      <c r="AF35" s="383"/>
      <c r="AG35" s="382"/>
      <c r="AH35" s="382"/>
    </row>
    <row r="36" spans="1:34" ht="9.75" customHeight="1">
      <c r="A36" s="1"/>
      <c r="B36" s="1"/>
      <c r="C36" s="1"/>
      <c r="D36" s="27" t="s">
        <v>702</v>
      </c>
      <c r="E36" s="1"/>
      <c r="F36" s="1" t="s">
        <v>52</v>
      </c>
      <c r="G36" s="1" t="s">
        <v>703</v>
      </c>
      <c r="L36" s="8" t="s">
        <v>52</v>
      </c>
      <c r="M36" s="304">
        <f>M33</f>
        <v>38000</v>
      </c>
      <c r="N36" s="304"/>
      <c r="O36" s="21" t="s">
        <v>83</v>
      </c>
      <c r="P36" s="275">
        <f>M36</f>
        <v>38000</v>
      </c>
      <c r="Q36" s="275"/>
      <c r="R36" s="2" t="s">
        <v>704</v>
      </c>
      <c r="S36" s="21" t="s">
        <v>705</v>
      </c>
      <c r="T36" s="273">
        <f>AD34</f>
        <v>66853.82958520472</v>
      </c>
      <c r="U36" s="275"/>
      <c r="V36" s="275"/>
      <c r="AC36" s="8" t="s">
        <v>52</v>
      </c>
      <c r="AD36" s="366">
        <f>IF(dpress&gt;=0,"***",M36-P36^2/4/T36)</f>
        <v>32600.159747918282</v>
      </c>
      <c r="AE36" s="366"/>
      <c r="AF36" s="366"/>
      <c r="AG36" s="2" t="str">
        <f>AG34</f>
        <v>psi</v>
      </c>
      <c r="AH36" s="3"/>
    </row>
    <row r="37" spans="1:29" ht="9.75" customHeight="1">
      <c r="A37" s="1"/>
      <c r="B37" s="1"/>
      <c r="C37" s="1"/>
      <c r="D37" s="62" t="s">
        <v>745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36" ht="9.75" customHeight="1">
      <c r="A38" s="1"/>
      <c r="B38" s="1"/>
      <c r="C38" s="1"/>
      <c r="D38" s="288" t="str">
        <f>"2 "&amp;D28</f>
        <v>2 SmA</v>
      </c>
      <c r="E38" s="288"/>
      <c r="F38" s="369" t="s">
        <v>61</v>
      </c>
      <c r="G38" s="360" t="str">
        <f>"2 "&amp;D30</f>
        <v>2 SmB</v>
      </c>
      <c r="H38" s="360"/>
      <c r="I38" s="401" t="s">
        <v>746</v>
      </c>
      <c r="J38" s="386">
        <v>1</v>
      </c>
      <c r="K38" s="386"/>
      <c r="L38" s="368" t="s">
        <v>294</v>
      </c>
      <c r="M38" s="21" t="s">
        <v>264</v>
      </c>
      <c r="N38" s="387">
        <f>ABS(AD28)</f>
        <v>270</v>
      </c>
      <c r="O38" s="304"/>
      <c r="P38" s="369" t="s">
        <v>61</v>
      </c>
      <c r="Q38" s="21" t="s">
        <v>264</v>
      </c>
      <c r="R38" s="387">
        <f>ABS(AD30)</f>
        <v>1242</v>
      </c>
      <c r="S38" s="304"/>
      <c r="T38" s="369" t="s">
        <v>52</v>
      </c>
      <c r="U38" s="400">
        <f>2*N38/M39</f>
        <v>0.01430234025675047</v>
      </c>
      <c r="V38" s="400"/>
      <c r="W38" s="369" t="s">
        <v>61</v>
      </c>
      <c r="X38" s="400">
        <f>2*R38/Q39</f>
        <v>0.07619594563976388</v>
      </c>
      <c r="Y38" s="400"/>
      <c r="Z38" s="369" t="s">
        <v>52</v>
      </c>
      <c r="AA38" s="400">
        <f>IF(dpress&gt;=0,"***",U38+X38)</f>
        <v>0.09049828589651435</v>
      </c>
      <c r="AB38" s="400"/>
      <c r="AC38" s="403" t="str">
        <f>IF(dpress&gt;=0,"***",IF(AA38&lt;AD38,"&lt;",IF(AA38=AD38,"=","&gt;")))</f>
        <v>&lt;</v>
      </c>
      <c r="AD38" s="386">
        <f>J38</f>
        <v>1</v>
      </c>
      <c r="AE38" s="386"/>
      <c r="AF38" s="402" t="str">
        <f>IF(dpress&gt;=0,"***",IF(AA38&lt;=AD38,"OK !","Not Acceptable !"))</f>
        <v>OK !</v>
      </c>
      <c r="AG38" s="402"/>
      <c r="AH38" s="402"/>
      <c r="AI38" s="402"/>
      <c r="AJ38" s="402"/>
    </row>
    <row r="39" spans="1:36" ht="9.75" customHeight="1">
      <c r="A39" s="1"/>
      <c r="B39" s="1"/>
      <c r="C39" s="1"/>
      <c r="D39" s="388" t="s">
        <v>749</v>
      </c>
      <c r="E39" s="388"/>
      <c r="F39" s="369"/>
      <c r="G39" s="388" t="s">
        <v>750</v>
      </c>
      <c r="H39" s="388"/>
      <c r="I39" s="369"/>
      <c r="J39" s="386"/>
      <c r="K39" s="386"/>
      <c r="L39" s="368"/>
      <c r="M39" s="371">
        <f>ABS(IF(AD31&lt;=M33/2,AD31,AD33))</f>
        <v>37756.05882017307</v>
      </c>
      <c r="N39" s="371"/>
      <c r="O39" s="371"/>
      <c r="P39" s="369"/>
      <c r="Q39" s="371">
        <f>ABS(IF(AD34&lt;=M33/2,AD34,AD36))</f>
        <v>32600.159747918282</v>
      </c>
      <c r="R39" s="371"/>
      <c r="S39" s="371"/>
      <c r="T39" s="369"/>
      <c r="U39" s="400"/>
      <c r="V39" s="400"/>
      <c r="W39" s="369"/>
      <c r="X39" s="400"/>
      <c r="Y39" s="400"/>
      <c r="Z39" s="369"/>
      <c r="AA39" s="400"/>
      <c r="AB39" s="400"/>
      <c r="AC39" s="403"/>
      <c r="AD39" s="386"/>
      <c r="AE39" s="386"/>
      <c r="AF39" s="402"/>
      <c r="AG39" s="402"/>
      <c r="AH39" s="402"/>
      <c r="AI39" s="402"/>
      <c r="AJ39" s="402"/>
    </row>
    <row r="40" spans="1:34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AH40" s="3"/>
    </row>
    <row r="41" spans="1:34" ht="9.75" customHeight="1">
      <c r="A41" s="1"/>
      <c r="B41" s="1"/>
      <c r="C41" s="27" t="s">
        <v>681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AH41" s="3"/>
    </row>
    <row r="42" spans="1:34" ht="9.75" customHeight="1">
      <c r="A42" s="1"/>
      <c r="B42" s="1"/>
      <c r="C42" s="1"/>
      <c r="D42" s="372" t="s">
        <v>684</v>
      </c>
      <c r="E42" s="372"/>
      <c r="F42" s="367" t="s">
        <v>677</v>
      </c>
      <c r="G42" s="373" t="s">
        <v>686</v>
      </c>
      <c r="H42" s="373"/>
      <c r="I42" s="373"/>
      <c r="J42" s="373"/>
      <c r="K42" s="369" t="s">
        <v>677</v>
      </c>
      <c r="N42" s="275">
        <f>AD14</f>
        <v>-115</v>
      </c>
      <c r="O42" s="275"/>
      <c r="P42" s="21" t="s">
        <v>680</v>
      </c>
      <c r="Q42" s="370">
        <f>AD15</f>
        <v>342.9</v>
      </c>
      <c r="R42" s="275"/>
      <c r="S42" s="21" t="s">
        <v>680</v>
      </c>
      <c r="T42" s="370">
        <f>AD18</f>
        <v>152.39999999999998</v>
      </c>
      <c r="U42" s="275"/>
      <c r="AC42" s="381" t="s">
        <v>52</v>
      </c>
      <c r="AD42" s="383">
        <f>IF(dpress&gt;=0,"***",N42*Q42*T42/(2*(M43*P43+S43*V43)))</f>
        <v>-270</v>
      </c>
      <c r="AE42" s="383"/>
      <c r="AF42" s="383"/>
      <c r="AG42" s="382" t="str">
        <f>upsx(dpu)</f>
        <v>psi</v>
      </c>
      <c r="AH42" s="382"/>
    </row>
    <row r="43" spans="1:36" ht="9.75" customHeight="1">
      <c r="A43" s="6"/>
      <c r="B43" s="6"/>
      <c r="C43" s="6"/>
      <c r="D43" s="372"/>
      <c r="E43" s="372"/>
      <c r="F43" s="367"/>
      <c r="G43" s="23" t="s">
        <v>685</v>
      </c>
      <c r="H43" s="23"/>
      <c r="I43" s="23"/>
      <c r="J43" s="23"/>
      <c r="K43" s="369"/>
      <c r="L43" s="23" t="s">
        <v>687</v>
      </c>
      <c r="M43" s="384">
        <f>AD20</f>
        <v>15.875</v>
      </c>
      <c r="N43" s="227"/>
      <c r="O43" s="22" t="s">
        <v>680</v>
      </c>
      <c r="P43" s="384">
        <f>T42</f>
        <v>152.39999999999998</v>
      </c>
      <c r="Q43" s="227"/>
      <c r="R43" s="22" t="s">
        <v>61</v>
      </c>
      <c r="S43" s="384">
        <f>AD17</f>
        <v>25.4</v>
      </c>
      <c r="T43" s="227"/>
      <c r="U43" s="22" t="s">
        <v>680</v>
      </c>
      <c r="V43" s="384">
        <f>Q42</f>
        <v>342.9</v>
      </c>
      <c r="W43" s="227"/>
      <c r="X43" s="22" t="s">
        <v>89</v>
      </c>
      <c r="AC43" s="381"/>
      <c r="AD43" s="383"/>
      <c r="AE43" s="383"/>
      <c r="AF43" s="383"/>
      <c r="AG43" s="382"/>
      <c r="AH43" s="382"/>
      <c r="AJ43" s="6"/>
    </row>
    <row r="44" spans="1:34" ht="9.75" customHeight="1">
      <c r="A44" s="1"/>
      <c r="B44" s="1"/>
      <c r="C44" s="1"/>
      <c r="D44" s="27" t="s">
        <v>688</v>
      </c>
      <c r="E44" s="1"/>
      <c r="F44" s="1" t="s">
        <v>677</v>
      </c>
      <c r="G44" s="1" t="s">
        <v>706</v>
      </c>
      <c r="K44" s="8" t="s">
        <v>52</v>
      </c>
      <c r="L44" s="275">
        <f>N42</f>
        <v>-115</v>
      </c>
      <c r="M44" s="275"/>
      <c r="N44" s="21" t="s">
        <v>680</v>
      </c>
      <c r="O44" s="370">
        <f>T42</f>
        <v>152.39999999999998</v>
      </c>
      <c r="P44" s="275"/>
      <c r="Q44" s="21" t="s">
        <v>78</v>
      </c>
      <c r="R44" s="21">
        <v>2</v>
      </c>
      <c r="S44" s="21" t="s">
        <v>78</v>
      </c>
      <c r="T44" s="370">
        <f>S43</f>
        <v>25.4</v>
      </c>
      <c r="U44" s="275"/>
      <c r="AC44" s="8" t="s">
        <v>52</v>
      </c>
      <c r="AD44" s="366">
        <f>IF(dpress&gt;=0,"***",L44*O44/R44/T44)</f>
        <v>-344.99999999999994</v>
      </c>
      <c r="AE44" s="366"/>
      <c r="AF44" s="366"/>
      <c r="AG44" s="2" t="str">
        <f>upsx(dpu)</f>
        <v>psi</v>
      </c>
      <c r="AH44" s="3"/>
    </row>
    <row r="45" spans="1:34" ht="9.75" customHeight="1">
      <c r="A45" s="6"/>
      <c r="B45" s="6"/>
      <c r="C45" s="6"/>
      <c r="D45" s="372" t="s">
        <v>690</v>
      </c>
      <c r="E45" s="372"/>
      <c r="F45" s="367" t="s">
        <v>677</v>
      </c>
      <c r="G45" s="385" t="s">
        <v>691</v>
      </c>
      <c r="H45" s="385"/>
      <c r="I45" s="385"/>
      <c r="J45" s="369" t="s">
        <v>88</v>
      </c>
      <c r="K45" s="21" t="s">
        <v>36</v>
      </c>
      <c r="L45" s="369" t="s">
        <v>694</v>
      </c>
      <c r="M45" s="369" t="s">
        <v>695</v>
      </c>
      <c r="N45" s="369" t="s">
        <v>677</v>
      </c>
      <c r="O45" s="275">
        <f>PI()</f>
        <v>3.141592653589793</v>
      </c>
      <c r="P45" s="275"/>
      <c r="Q45" s="2" t="s">
        <v>60</v>
      </c>
      <c r="R45" s="8" t="s">
        <v>21</v>
      </c>
      <c r="S45" s="304">
        <f>moetema(mindex(shellm,2),dtemp,dtu,dpu)</f>
        <v>25850000</v>
      </c>
      <c r="T45" s="304"/>
      <c r="V45" s="369" t="s">
        <v>88</v>
      </c>
      <c r="W45" s="370">
        <f>T44</f>
        <v>25.4</v>
      </c>
      <c r="X45" s="275"/>
      <c r="Y45" s="369" t="s">
        <v>694</v>
      </c>
      <c r="Z45" s="369" t="s">
        <v>21</v>
      </c>
      <c r="AA45" s="386">
        <f>AA31</f>
        <v>5.8374999999999995</v>
      </c>
      <c r="AB45" s="369"/>
      <c r="AC45" s="381" t="s">
        <v>52</v>
      </c>
      <c r="AD45" s="383">
        <f>IF(dpress&gt;=0,"***",O45^2*S45/(O46*(Q46-S46^2))*(W45/W46)^2*AA45)</f>
        <v>748336.642408253</v>
      </c>
      <c r="AE45" s="383"/>
      <c r="AF45" s="383"/>
      <c r="AG45" s="382" t="str">
        <f>upsx(dpu)</f>
        <v>psi</v>
      </c>
      <c r="AH45" s="382"/>
    </row>
    <row r="46" spans="1:34" ht="9.75" customHeight="1">
      <c r="A46" s="1"/>
      <c r="B46" s="1"/>
      <c r="C46" s="1"/>
      <c r="D46" s="372"/>
      <c r="E46" s="372"/>
      <c r="F46" s="367"/>
      <c r="G46" s="227" t="s">
        <v>692</v>
      </c>
      <c r="H46" s="227"/>
      <c r="I46" s="227"/>
      <c r="J46" s="369"/>
      <c r="K46" s="22" t="s">
        <v>707</v>
      </c>
      <c r="L46" s="369"/>
      <c r="M46" s="369"/>
      <c r="N46" s="369"/>
      <c r="O46" s="10">
        <v>12</v>
      </c>
      <c r="P46" s="22" t="s">
        <v>88</v>
      </c>
      <c r="Q46" s="22">
        <v>1</v>
      </c>
      <c r="R46" s="22" t="s">
        <v>83</v>
      </c>
      <c r="S46" s="227">
        <f>S32</f>
        <v>0.3</v>
      </c>
      <c r="T46" s="227"/>
      <c r="U46" s="10" t="s">
        <v>696</v>
      </c>
      <c r="V46" s="369"/>
      <c r="W46" s="384">
        <f>V43</f>
        <v>342.9</v>
      </c>
      <c r="X46" s="227"/>
      <c r="Y46" s="369"/>
      <c r="Z46" s="369"/>
      <c r="AA46" s="369"/>
      <c r="AB46" s="369"/>
      <c r="AC46" s="381"/>
      <c r="AD46" s="383"/>
      <c r="AE46" s="383"/>
      <c r="AF46" s="383"/>
      <c r="AG46" s="382"/>
      <c r="AH46" s="382"/>
    </row>
    <row r="47" spans="1:34" ht="9.75" customHeight="1">
      <c r="A47" s="1"/>
      <c r="B47" s="1"/>
      <c r="C47" s="1"/>
      <c r="D47" s="27" t="s">
        <v>697</v>
      </c>
      <c r="E47" s="1"/>
      <c r="F47" s="1" t="s">
        <v>52</v>
      </c>
      <c r="G47" s="1" t="s">
        <v>698</v>
      </c>
      <c r="L47" s="8" t="s">
        <v>52</v>
      </c>
      <c r="M47" s="387">
        <f>AD23</f>
        <v>38000</v>
      </c>
      <c r="N47" s="304"/>
      <c r="O47" s="21" t="s">
        <v>83</v>
      </c>
      <c r="P47" s="273">
        <f>M47</f>
        <v>38000</v>
      </c>
      <c r="Q47" s="275"/>
      <c r="R47" s="2" t="s">
        <v>704</v>
      </c>
      <c r="S47" s="21" t="s">
        <v>705</v>
      </c>
      <c r="T47" s="273">
        <f>AD45</f>
        <v>748336.642408253</v>
      </c>
      <c r="U47" s="275"/>
      <c r="V47" s="275"/>
      <c r="AC47" s="8" t="s">
        <v>52</v>
      </c>
      <c r="AD47" s="366">
        <f>IF(dpress&gt;=0,"***",M47-P47^2/4/T47)</f>
        <v>37517.59678793992</v>
      </c>
      <c r="AE47" s="366"/>
      <c r="AF47" s="366"/>
      <c r="AG47" s="2" t="str">
        <f>AG45</f>
        <v>psi</v>
      </c>
      <c r="AH47" s="3"/>
    </row>
    <row r="48" spans="1:34" ht="9.75" customHeight="1">
      <c r="A48" s="1"/>
      <c r="B48" s="1"/>
      <c r="C48" s="1"/>
      <c r="D48" s="372" t="s">
        <v>699</v>
      </c>
      <c r="E48" s="372"/>
      <c r="F48" s="367" t="s">
        <v>677</v>
      </c>
      <c r="G48" s="385" t="s">
        <v>691</v>
      </c>
      <c r="H48" s="385"/>
      <c r="I48" s="385"/>
      <c r="J48" s="369" t="s">
        <v>88</v>
      </c>
      <c r="K48" s="21" t="s">
        <v>36</v>
      </c>
      <c r="L48" s="369" t="s">
        <v>694</v>
      </c>
      <c r="M48" s="369" t="s">
        <v>701</v>
      </c>
      <c r="N48" s="369" t="s">
        <v>677</v>
      </c>
      <c r="O48" s="275">
        <f>PI()</f>
        <v>3.141592653589793</v>
      </c>
      <c r="P48" s="275"/>
      <c r="Q48" s="2" t="s">
        <v>60</v>
      </c>
      <c r="R48" s="8" t="s">
        <v>21</v>
      </c>
      <c r="S48" s="304">
        <f>S45</f>
        <v>25850000</v>
      </c>
      <c r="T48" s="304"/>
      <c r="V48" s="369" t="s">
        <v>88</v>
      </c>
      <c r="W48" s="370">
        <f>W45</f>
        <v>25.4</v>
      </c>
      <c r="X48" s="275"/>
      <c r="Y48" s="369" t="s">
        <v>694</v>
      </c>
      <c r="Z48" s="369" t="s">
        <v>21</v>
      </c>
      <c r="AA48" s="386">
        <f>AA34</f>
        <v>11.354320987654322</v>
      </c>
      <c r="AB48" s="369"/>
      <c r="AC48" s="381" t="s">
        <v>52</v>
      </c>
      <c r="AD48" s="383">
        <f>IF(dpress&gt;=0,"***",O48^2*S48/(O49*(Q49-S49^2))*(W48/W49)^2*AA48)</f>
        <v>171145.80373812403</v>
      </c>
      <c r="AE48" s="383"/>
      <c r="AF48" s="383"/>
      <c r="AG48" s="382" t="str">
        <f>upsx(dpu)</f>
        <v>psi</v>
      </c>
      <c r="AH48" s="382"/>
    </row>
    <row r="49" spans="1:34" ht="9.75" customHeight="1">
      <c r="A49" s="6"/>
      <c r="B49" s="6"/>
      <c r="C49" s="6"/>
      <c r="D49" s="372"/>
      <c r="E49" s="372"/>
      <c r="F49" s="367"/>
      <c r="G49" s="227" t="s">
        <v>692</v>
      </c>
      <c r="H49" s="227"/>
      <c r="I49" s="227"/>
      <c r="J49" s="369"/>
      <c r="K49" s="22" t="s">
        <v>700</v>
      </c>
      <c r="L49" s="369"/>
      <c r="M49" s="369"/>
      <c r="N49" s="369"/>
      <c r="O49" s="10">
        <v>12</v>
      </c>
      <c r="P49" s="22" t="s">
        <v>88</v>
      </c>
      <c r="Q49" s="22">
        <v>1</v>
      </c>
      <c r="R49" s="22" t="s">
        <v>83</v>
      </c>
      <c r="S49" s="227">
        <f>S46</f>
        <v>0.3</v>
      </c>
      <c r="T49" s="227"/>
      <c r="U49" s="10" t="s">
        <v>696</v>
      </c>
      <c r="V49" s="369"/>
      <c r="W49" s="384">
        <f>IF(AD18/AD15&gt;=0.258,AD22,AD18)</f>
        <v>1000</v>
      </c>
      <c r="X49" s="227"/>
      <c r="Y49" s="369"/>
      <c r="Z49" s="369"/>
      <c r="AA49" s="369"/>
      <c r="AB49" s="369"/>
      <c r="AC49" s="381"/>
      <c r="AD49" s="383"/>
      <c r="AE49" s="383"/>
      <c r="AF49" s="383"/>
      <c r="AG49" s="382"/>
      <c r="AH49" s="382"/>
    </row>
    <row r="50" spans="1:34" ht="9.75" customHeight="1">
      <c r="A50" s="1"/>
      <c r="B50" s="1"/>
      <c r="C50" s="1"/>
      <c r="D50" s="27" t="s">
        <v>702</v>
      </c>
      <c r="E50" s="1"/>
      <c r="F50" s="1" t="s">
        <v>52</v>
      </c>
      <c r="G50" s="1" t="s">
        <v>703</v>
      </c>
      <c r="L50" s="8" t="s">
        <v>52</v>
      </c>
      <c r="M50" s="387">
        <f>M47</f>
        <v>38000</v>
      </c>
      <c r="N50" s="304"/>
      <c r="O50" s="21" t="s">
        <v>83</v>
      </c>
      <c r="P50" s="273">
        <f>M50</f>
        <v>38000</v>
      </c>
      <c r="Q50" s="275"/>
      <c r="R50" s="2" t="s">
        <v>704</v>
      </c>
      <c r="S50" s="21" t="s">
        <v>705</v>
      </c>
      <c r="T50" s="273">
        <f>AD48</f>
        <v>171145.80373812403</v>
      </c>
      <c r="U50" s="275"/>
      <c r="V50" s="275"/>
      <c r="AC50" s="8" t="s">
        <v>52</v>
      </c>
      <c r="AD50" s="366">
        <f>IF(dpress&gt;=0,"***",M50-P50^2/4/T50)</f>
        <v>35890.68740153058</v>
      </c>
      <c r="AE50" s="366"/>
      <c r="AF50" s="366"/>
      <c r="AG50" s="2" t="str">
        <f>AG48</f>
        <v>psi</v>
      </c>
      <c r="AH50" s="3"/>
    </row>
    <row r="51" spans="1:29" ht="9.75" customHeight="1">
      <c r="A51" s="1"/>
      <c r="B51" s="1"/>
      <c r="C51" s="1"/>
      <c r="D51" s="62" t="s">
        <v>745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AC51" s="3"/>
    </row>
    <row r="52" spans="1:36" ht="9.75" customHeight="1">
      <c r="A52" s="1"/>
      <c r="B52" s="1"/>
      <c r="C52" s="1"/>
      <c r="D52" s="288" t="str">
        <f>"2 "&amp;D42</f>
        <v>2 SmA</v>
      </c>
      <c r="E52" s="288"/>
      <c r="F52" s="369" t="s">
        <v>61</v>
      </c>
      <c r="G52" s="360" t="str">
        <f>"2 "&amp;D44</f>
        <v>2 SmB</v>
      </c>
      <c r="H52" s="360"/>
      <c r="I52" s="401" t="s">
        <v>746</v>
      </c>
      <c r="J52" s="386">
        <v>1</v>
      </c>
      <c r="K52" s="386"/>
      <c r="L52" s="368" t="s">
        <v>294</v>
      </c>
      <c r="M52" s="21" t="s">
        <v>264</v>
      </c>
      <c r="N52" s="387">
        <f>ABS(AD42)</f>
        <v>270</v>
      </c>
      <c r="O52" s="304"/>
      <c r="P52" s="369" t="s">
        <v>61</v>
      </c>
      <c r="Q52" s="21" t="s">
        <v>264</v>
      </c>
      <c r="R52" s="387">
        <f>ABS(AD44)</f>
        <v>344.99999999999994</v>
      </c>
      <c r="S52" s="304"/>
      <c r="T52" s="369" t="s">
        <v>52</v>
      </c>
      <c r="U52" s="400">
        <f>2*N52/M53</f>
        <v>0.014393246002728611</v>
      </c>
      <c r="V52" s="400"/>
      <c r="W52" s="369" t="s">
        <v>61</v>
      </c>
      <c r="X52" s="400">
        <f>2*R52/Q53</f>
        <v>0.01922504276055115</v>
      </c>
      <c r="Y52" s="400"/>
      <c r="Z52" s="369" t="s">
        <v>52</v>
      </c>
      <c r="AA52" s="400">
        <f>IF(dpress&gt;=0,"***",U52+X52)</f>
        <v>0.03361828876327976</v>
      </c>
      <c r="AB52" s="400"/>
      <c r="AC52" s="403" t="str">
        <f>IF(dpress&gt;=0,"***",IF(AA52&lt;AD52,"&lt;",IF(AA52=AD52,"=","&gt;")))</f>
        <v>&lt;</v>
      </c>
      <c r="AD52" s="386">
        <f>J52</f>
        <v>1</v>
      </c>
      <c r="AE52" s="386"/>
      <c r="AF52" s="402" t="str">
        <f>IF(dpress&gt;=0,"***",IF(AA52&lt;=AD52,"OK !","Not Acceptable !"))</f>
        <v>OK !</v>
      </c>
      <c r="AG52" s="402"/>
      <c r="AH52" s="402"/>
      <c r="AI52" s="402"/>
      <c r="AJ52" s="402"/>
    </row>
    <row r="53" spans="1:36" ht="9.75" customHeight="1">
      <c r="A53" s="1"/>
      <c r="B53" s="1"/>
      <c r="C53" s="1"/>
      <c r="D53" s="243" t="str">
        <f>D39</f>
        <v>ScrA</v>
      </c>
      <c r="E53" s="243"/>
      <c r="F53" s="369"/>
      <c r="G53" s="243" t="str">
        <f>G39</f>
        <v>ScrB</v>
      </c>
      <c r="H53" s="243"/>
      <c r="I53" s="369"/>
      <c r="J53" s="386"/>
      <c r="K53" s="386"/>
      <c r="L53" s="368"/>
      <c r="M53" s="371">
        <f>ABS(IF(AD45&lt;=M47/2,AD45,AD47))</f>
        <v>37517.59678793992</v>
      </c>
      <c r="N53" s="371"/>
      <c r="O53" s="371"/>
      <c r="P53" s="369"/>
      <c r="Q53" s="371">
        <f>ABS(IF(AD48&lt;=M47/2,AD48,AD50))</f>
        <v>35890.68740153058</v>
      </c>
      <c r="R53" s="371"/>
      <c r="S53" s="371"/>
      <c r="T53" s="369"/>
      <c r="U53" s="400"/>
      <c r="V53" s="400"/>
      <c r="W53" s="369"/>
      <c r="X53" s="400"/>
      <c r="Y53" s="400"/>
      <c r="Z53" s="369"/>
      <c r="AA53" s="400"/>
      <c r="AB53" s="400"/>
      <c r="AC53" s="403"/>
      <c r="AD53" s="386"/>
      <c r="AE53" s="386"/>
      <c r="AF53" s="402"/>
      <c r="AG53" s="402"/>
      <c r="AH53" s="402"/>
      <c r="AI53" s="402"/>
      <c r="AJ53" s="402"/>
    </row>
    <row r="54" spans="1:34" ht="9.75" customHeight="1">
      <c r="A54" s="1"/>
      <c r="B54" s="1"/>
      <c r="C54" s="1"/>
      <c r="D54" s="1"/>
      <c r="E54" s="1"/>
      <c r="F54" s="1"/>
      <c r="G54" s="1"/>
      <c r="N54" s="1"/>
      <c r="O54" s="1"/>
      <c r="P54" s="1"/>
      <c r="Q54" s="1"/>
      <c r="R54" s="1"/>
      <c r="S54" s="1"/>
      <c r="T54" s="1"/>
      <c r="U54" s="1"/>
      <c r="AH54" s="3"/>
    </row>
    <row r="55" spans="1:34" ht="9.75" customHeight="1">
      <c r="A55" s="1"/>
      <c r="B55" s="1"/>
      <c r="C55" s="27" t="s">
        <v>708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AH55" s="3"/>
    </row>
    <row r="56" spans="1:34" ht="9.75" customHeight="1">
      <c r="A56" s="1"/>
      <c r="B56" s="1"/>
      <c r="C56" s="1"/>
      <c r="D56" s="372" t="s">
        <v>684</v>
      </c>
      <c r="E56" s="372"/>
      <c r="F56" s="367" t="s">
        <v>677</v>
      </c>
      <c r="G56" s="373" t="s">
        <v>709</v>
      </c>
      <c r="H56" s="373"/>
      <c r="I56" s="373"/>
      <c r="J56" s="373"/>
      <c r="K56" s="369" t="s">
        <v>677</v>
      </c>
      <c r="N56" s="275">
        <f>AD14</f>
        <v>-115</v>
      </c>
      <c r="O56" s="275"/>
      <c r="P56" s="21" t="s">
        <v>680</v>
      </c>
      <c r="Q56" s="370">
        <f>AD18</f>
        <v>152.39999999999998</v>
      </c>
      <c r="R56" s="275"/>
      <c r="S56" s="21" t="s">
        <v>680</v>
      </c>
      <c r="T56" s="370">
        <f>AD22</f>
        <v>1000</v>
      </c>
      <c r="U56" s="275"/>
      <c r="AC56" s="381" t="s">
        <v>52</v>
      </c>
      <c r="AD56" s="383">
        <f>IF(dpress&gt;=0,"***",N56*Q56*T56/(2*(M57*P57+S57*V57)))</f>
        <v>-299.99999999999994</v>
      </c>
      <c r="AE56" s="383"/>
      <c r="AF56" s="383"/>
      <c r="AG56" s="382" t="str">
        <f>upsx(dpu)</f>
        <v>psi</v>
      </c>
      <c r="AH56" s="382"/>
    </row>
    <row r="57" spans="1:36" ht="9.75" customHeight="1">
      <c r="A57" s="6"/>
      <c r="B57" s="6"/>
      <c r="C57" s="6"/>
      <c r="D57" s="372"/>
      <c r="E57" s="372"/>
      <c r="F57" s="367"/>
      <c r="G57" s="23" t="s">
        <v>710</v>
      </c>
      <c r="H57" s="23"/>
      <c r="I57" s="23"/>
      <c r="J57" s="23"/>
      <c r="K57" s="369"/>
      <c r="L57" s="23" t="s">
        <v>687</v>
      </c>
      <c r="M57" s="384">
        <f>AD17</f>
        <v>25.4</v>
      </c>
      <c r="N57" s="227"/>
      <c r="O57" s="22" t="s">
        <v>680</v>
      </c>
      <c r="P57" s="384">
        <f>T56</f>
        <v>1000</v>
      </c>
      <c r="Q57" s="227"/>
      <c r="R57" s="22" t="s">
        <v>61</v>
      </c>
      <c r="S57" s="384">
        <f>AD21</f>
        <v>25</v>
      </c>
      <c r="T57" s="227"/>
      <c r="U57" s="22" t="s">
        <v>680</v>
      </c>
      <c r="V57" s="384">
        <f>Q56</f>
        <v>152.39999999999998</v>
      </c>
      <c r="W57" s="227"/>
      <c r="X57" s="22" t="s">
        <v>89</v>
      </c>
      <c r="AC57" s="381"/>
      <c r="AD57" s="383"/>
      <c r="AE57" s="383"/>
      <c r="AF57" s="383"/>
      <c r="AG57" s="382"/>
      <c r="AH57" s="382"/>
      <c r="AJ57" s="6"/>
    </row>
    <row r="58" spans="1:34" ht="9.75" customHeight="1">
      <c r="A58" s="1"/>
      <c r="B58" s="1"/>
      <c r="C58" s="1"/>
      <c r="D58" s="372" t="s">
        <v>688</v>
      </c>
      <c r="E58" s="372"/>
      <c r="F58" s="367" t="s">
        <v>677</v>
      </c>
      <c r="G58" s="373" t="s">
        <v>711</v>
      </c>
      <c r="H58" s="373"/>
      <c r="I58" s="373"/>
      <c r="J58" s="373"/>
      <c r="K58" s="369" t="s">
        <v>677</v>
      </c>
      <c r="N58" s="275">
        <f>N56</f>
        <v>-115</v>
      </c>
      <c r="O58" s="275"/>
      <c r="P58" s="21" t="s">
        <v>680</v>
      </c>
      <c r="Q58" s="370">
        <f>AD15</f>
        <v>342.9</v>
      </c>
      <c r="R58" s="275"/>
      <c r="S58" s="21" t="s">
        <v>680</v>
      </c>
      <c r="T58" s="370">
        <f>T56</f>
        <v>1000</v>
      </c>
      <c r="U58" s="275"/>
      <c r="AC58" s="381" t="s">
        <v>52</v>
      </c>
      <c r="AD58" s="383">
        <f>IF(dpress&gt;=0,"***",N58*Q58*T58/(2*(M59*P59+S59*V59)))</f>
        <v>-806.4935064935065</v>
      </c>
      <c r="AE58" s="383"/>
      <c r="AF58" s="383"/>
      <c r="AG58" s="382" t="str">
        <f>upsx(dpu)</f>
        <v>psi</v>
      </c>
      <c r="AH58" s="382"/>
    </row>
    <row r="59" spans="1:36" ht="9.75" customHeight="1">
      <c r="A59" s="6"/>
      <c r="B59" s="6"/>
      <c r="C59" s="6"/>
      <c r="D59" s="372"/>
      <c r="E59" s="372"/>
      <c r="F59" s="367"/>
      <c r="G59" s="23" t="s">
        <v>712</v>
      </c>
      <c r="H59" s="23"/>
      <c r="I59" s="23"/>
      <c r="J59" s="23"/>
      <c r="K59" s="369"/>
      <c r="L59" s="23" t="s">
        <v>687</v>
      </c>
      <c r="M59" s="384">
        <f>AD20</f>
        <v>15.875</v>
      </c>
      <c r="N59" s="227"/>
      <c r="O59" s="22" t="s">
        <v>680</v>
      </c>
      <c r="P59" s="384">
        <f>T58</f>
        <v>1000</v>
      </c>
      <c r="Q59" s="227"/>
      <c r="R59" s="22" t="s">
        <v>61</v>
      </c>
      <c r="S59" s="384">
        <f>AD21</f>
        <v>25</v>
      </c>
      <c r="T59" s="227"/>
      <c r="U59" s="22" t="s">
        <v>680</v>
      </c>
      <c r="V59" s="384">
        <f>Q58</f>
        <v>342.9</v>
      </c>
      <c r="W59" s="227"/>
      <c r="X59" s="22" t="s">
        <v>89</v>
      </c>
      <c r="AC59" s="381"/>
      <c r="AD59" s="383"/>
      <c r="AE59" s="383"/>
      <c r="AF59" s="383"/>
      <c r="AG59" s="382"/>
      <c r="AH59" s="382"/>
      <c r="AJ59" s="6"/>
    </row>
    <row r="60" spans="1:34" ht="9.75" customHeight="1">
      <c r="A60" s="6"/>
      <c r="B60" s="6"/>
      <c r="C60" s="6"/>
      <c r="D60" s="372" t="s">
        <v>690</v>
      </c>
      <c r="E60" s="372"/>
      <c r="F60" s="367" t="s">
        <v>677</v>
      </c>
      <c r="G60" s="385" t="s">
        <v>691</v>
      </c>
      <c r="H60" s="385"/>
      <c r="I60" s="385"/>
      <c r="J60" s="369" t="s">
        <v>88</v>
      </c>
      <c r="K60" s="21" t="s">
        <v>713</v>
      </c>
      <c r="L60" s="369" t="s">
        <v>694</v>
      </c>
      <c r="M60" s="369" t="s">
        <v>695</v>
      </c>
      <c r="N60" s="369" t="s">
        <v>677</v>
      </c>
      <c r="O60" s="275">
        <f>PI()</f>
        <v>3.141592653589793</v>
      </c>
      <c r="P60" s="275"/>
      <c r="Q60" s="2" t="s">
        <v>60</v>
      </c>
      <c r="R60" s="8" t="s">
        <v>21</v>
      </c>
      <c r="S60" s="304">
        <f>moetema(mindex(shellm,2),dtemp,dtu,dpu)</f>
        <v>25850000</v>
      </c>
      <c r="T60" s="304"/>
      <c r="V60" s="369" t="s">
        <v>88</v>
      </c>
      <c r="W60" s="370">
        <f>S57</f>
        <v>25</v>
      </c>
      <c r="X60" s="275"/>
      <c r="Y60" s="369" t="s">
        <v>694</v>
      </c>
      <c r="Z60" s="369" t="s">
        <v>21</v>
      </c>
      <c r="AA60" s="386">
        <f>AA45</f>
        <v>5.8374999999999995</v>
      </c>
      <c r="AB60" s="369"/>
      <c r="AC60" s="381" t="s">
        <v>52</v>
      </c>
      <c r="AD60" s="383">
        <f>IF(dpress&gt;=0,"***",O60^2*S60/(O61*(Q61-S61^2))*(W60/W61)^2*AA60)</f>
        <v>3670072.3969555837</v>
      </c>
      <c r="AE60" s="383"/>
      <c r="AF60" s="383"/>
      <c r="AG60" s="382" t="str">
        <f>upsx(dpu)</f>
        <v>psi</v>
      </c>
      <c r="AH60" s="382"/>
    </row>
    <row r="61" spans="1:34" ht="9.75" customHeight="1">
      <c r="A61" s="1"/>
      <c r="B61" s="1"/>
      <c r="C61" s="1"/>
      <c r="D61" s="372"/>
      <c r="E61" s="372"/>
      <c r="F61" s="367"/>
      <c r="G61" s="227" t="s">
        <v>692</v>
      </c>
      <c r="H61" s="227"/>
      <c r="I61" s="227"/>
      <c r="J61" s="369"/>
      <c r="K61" s="22" t="s">
        <v>693</v>
      </c>
      <c r="L61" s="369"/>
      <c r="M61" s="369"/>
      <c r="N61" s="369"/>
      <c r="O61" s="10">
        <v>12</v>
      </c>
      <c r="P61" s="22" t="s">
        <v>88</v>
      </c>
      <c r="Q61" s="22">
        <v>1</v>
      </c>
      <c r="R61" s="22" t="s">
        <v>83</v>
      </c>
      <c r="S61" s="227">
        <f>S32</f>
        <v>0.3</v>
      </c>
      <c r="T61" s="227"/>
      <c r="U61" s="10" t="s">
        <v>696</v>
      </c>
      <c r="V61" s="369"/>
      <c r="W61" s="384">
        <f>Q56</f>
        <v>152.39999999999998</v>
      </c>
      <c r="X61" s="227"/>
      <c r="Y61" s="369"/>
      <c r="Z61" s="369"/>
      <c r="AA61" s="369"/>
      <c r="AB61" s="369"/>
      <c r="AC61" s="381"/>
      <c r="AD61" s="383"/>
      <c r="AE61" s="383"/>
      <c r="AF61" s="383"/>
      <c r="AG61" s="382"/>
      <c r="AH61" s="382"/>
    </row>
    <row r="62" spans="1:34" ht="9.75" customHeight="1">
      <c r="A62" s="1"/>
      <c r="B62" s="1"/>
      <c r="C62" s="1"/>
      <c r="D62" s="27" t="s">
        <v>697</v>
      </c>
      <c r="E62" s="1"/>
      <c r="F62" s="1" t="s">
        <v>52</v>
      </c>
      <c r="G62" s="1" t="s">
        <v>698</v>
      </c>
      <c r="L62" s="8" t="s">
        <v>52</v>
      </c>
      <c r="M62" s="387">
        <f>AD23</f>
        <v>38000</v>
      </c>
      <c r="N62" s="304"/>
      <c r="O62" s="21" t="s">
        <v>83</v>
      </c>
      <c r="P62" s="273">
        <f>M62</f>
        <v>38000</v>
      </c>
      <c r="Q62" s="275"/>
      <c r="R62" s="2" t="s">
        <v>704</v>
      </c>
      <c r="S62" s="21" t="s">
        <v>705</v>
      </c>
      <c r="T62" s="273">
        <f>AD60</f>
        <v>3670072.3969555837</v>
      </c>
      <c r="U62" s="275"/>
      <c r="V62" s="275"/>
      <c r="AC62" s="8" t="s">
        <v>52</v>
      </c>
      <c r="AD62" s="366">
        <f>IF(dpress&gt;=0,"***",M62-P62^2/4/T62)</f>
        <v>37901.63681776429</v>
      </c>
      <c r="AE62" s="366"/>
      <c r="AF62" s="366"/>
      <c r="AG62" s="2" t="str">
        <f>AG60</f>
        <v>psi</v>
      </c>
      <c r="AH62" s="3"/>
    </row>
    <row r="63" spans="1:34" ht="9.75" customHeight="1">
      <c r="A63" s="1"/>
      <c r="B63" s="1"/>
      <c r="C63" s="1"/>
      <c r="D63" s="372" t="s">
        <v>699</v>
      </c>
      <c r="E63" s="372"/>
      <c r="F63" s="367" t="s">
        <v>677</v>
      </c>
      <c r="G63" s="385" t="s">
        <v>691</v>
      </c>
      <c r="H63" s="385"/>
      <c r="I63" s="385"/>
      <c r="J63" s="369" t="s">
        <v>88</v>
      </c>
      <c r="K63" s="21" t="s">
        <v>713</v>
      </c>
      <c r="L63" s="369" t="s">
        <v>694</v>
      </c>
      <c r="M63" s="369" t="s">
        <v>701</v>
      </c>
      <c r="N63" s="369" t="s">
        <v>677</v>
      </c>
      <c r="O63" s="275">
        <f>PI()</f>
        <v>3.141592653589793</v>
      </c>
      <c r="P63" s="275"/>
      <c r="Q63" s="2" t="s">
        <v>60</v>
      </c>
      <c r="R63" s="8" t="s">
        <v>21</v>
      </c>
      <c r="S63" s="304">
        <f>S60</f>
        <v>25850000</v>
      </c>
      <c r="T63" s="304"/>
      <c r="V63" s="369" t="s">
        <v>88</v>
      </c>
      <c r="W63" s="370">
        <f>W60</f>
        <v>25</v>
      </c>
      <c r="X63" s="275"/>
      <c r="Y63" s="369" t="s">
        <v>694</v>
      </c>
      <c r="Z63" s="369" t="s">
        <v>21</v>
      </c>
      <c r="AA63" s="386">
        <f>AA48</f>
        <v>11.354320987654322</v>
      </c>
      <c r="AB63" s="369"/>
      <c r="AC63" s="381" t="s">
        <v>52</v>
      </c>
      <c r="AD63" s="383">
        <f>IF(dpress&gt;=0,"***",O63^2*S63/(O64*(Q64-S64^2))*(W63/W64)^2*AA63)</f>
        <v>1410080.3779044964</v>
      </c>
      <c r="AE63" s="383"/>
      <c r="AF63" s="383"/>
      <c r="AG63" s="382" t="str">
        <f>upsx(dpu)</f>
        <v>psi</v>
      </c>
      <c r="AH63" s="382"/>
    </row>
    <row r="64" spans="1:34" ht="9.75" customHeight="1">
      <c r="A64" s="6"/>
      <c r="B64" s="6"/>
      <c r="C64" s="6"/>
      <c r="D64" s="372"/>
      <c r="E64" s="372"/>
      <c r="F64" s="367"/>
      <c r="G64" s="227" t="s">
        <v>692</v>
      </c>
      <c r="H64" s="227"/>
      <c r="I64" s="227"/>
      <c r="J64" s="369"/>
      <c r="K64" s="22" t="s">
        <v>707</v>
      </c>
      <c r="L64" s="369"/>
      <c r="M64" s="369"/>
      <c r="N64" s="369"/>
      <c r="O64" s="10">
        <v>12</v>
      </c>
      <c r="P64" s="22" t="s">
        <v>88</v>
      </c>
      <c r="Q64" s="22">
        <v>1</v>
      </c>
      <c r="R64" s="22" t="s">
        <v>83</v>
      </c>
      <c r="S64" s="227">
        <f>S61</f>
        <v>0.3</v>
      </c>
      <c r="T64" s="227"/>
      <c r="U64" s="10" t="s">
        <v>696</v>
      </c>
      <c r="V64" s="369"/>
      <c r="W64" s="384">
        <f>V59</f>
        <v>342.9</v>
      </c>
      <c r="X64" s="227"/>
      <c r="Y64" s="369"/>
      <c r="Z64" s="369"/>
      <c r="AA64" s="369"/>
      <c r="AB64" s="369"/>
      <c r="AC64" s="381"/>
      <c r="AD64" s="383"/>
      <c r="AE64" s="383"/>
      <c r="AF64" s="383"/>
      <c r="AG64" s="382"/>
      <c r="AH64" s="382"/>
    </row>
    <row r="65" spans="1:34" ht="9.75" customHeight="1">
      <c r="A65" s="1"/>
      <c r="B65" s="1"/>
      <c r="C65" s="1"/>
      <c r="D65" s="27" t="s">
        <v>702</v>
      </c>
      <c r="E65" s="1"/>
      <c r="F65" s="1" t="s">
        <v>52</v>
      </c>
      <c r="G65" s="1" t="s">
        <v>703</v>
      </c>
      <c r="L65" s="8" t="s">
        <v>52</v>
      </c>
      <c r="M65" s="387">
        <f>M62</f>
        <v>38000</v>
      </c>
      <c r="N65" s="304"/>
      <c r="O65" s="21" t="s">
        <v>83</v>
      </c>
      <c r="P65" s="275">
        <f>M65</f>
        <v>38000</v>
      </c>
      <c r="Q65" s="275"/>
      <c r="R65" s="2" t="s">
        <v>704</v>
      </c>
      <c r="S65" s="21" t="s">
        <v>705</v>
      </c>
      <c r="T65" s="273">
        <f>AD63</f>
        <v>1410080.3779044964</v>
      </c>
      <c r="U65" s="275"/>
      <c r="V65" s="275"/>
      <c r="AC65" s="8" t="s">
        <v>52</v>
      </c>
      <c r="AD65" s="366">
        <f>IF(dpress&gt;=0,"***",M65-P65^2/4/T65)</f>
        <v>37743.986225426044</v>
      </c>
      <c r="AE65" s="366"/>
      <c r="AF65" s="366"/>
      <c r="AG65" s="2" t="str">
        <f>AG63</f>
        <v>psi</v>
      </c>
      <c r="AH65" s="3"/>
    </row>
    <row r="66" spans="1:29" ht="9.75" customHeight="1">
      <c r="A66" s="1"/>
      <c r="B66" s="1"/>
      <c r="C66" s="1"/>
      <c r="D66" s="62" t="s">
        <v>745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AC66" s="3"/>
    </row>
    <row r="67" spans="1:36" ht="9.75" customHeight="1">
      <c r="A67" s="1"/>
      <c r="B67" s="1"/>
      <c r="C67" s="1"/>
      <c r="D67" s="288" t="str">
        <f>"2 "&amp;D56</f>
        <v>2 SmA</v>
      </c>
      <c r="E67" s="288"/>
      <c r="F67" s="369" t="s">
        <v>61</v>
      </c>
      <c r="G67" s="360" t="str">
        <f>"2 "&amp;D58</f>
        <v>2 SmB</v>
      </c>
      <c r="H67" s="360"/>
      <c r="I67" s="401" t="s">
        <v>746</v>
      </c>
      <c r="J67" s="386">
        <v>1</v>
      </c>
      <c r="K67" s="386"/>
      <c r="L67" s="368" t="s">
        <v>294</v>
      </c>
      <c r="M67" s="21" t="s">
        <v>264</v>
      </c>
      <c r="N67" s="387">
        <f>ABS(AD56)</f>
        <v>299.99999999999994</v>
      </c>
      <c r="O67" s="304"/>
      <c r="P67" s="369" t="s">
        <v>61</v>
      </c>
      <c r="Q67" s="21" t="s">
        <v>264</v>
      </c>
      <c r="R67" s="387">
        <f>ABS(AD58)</f>
        <v>806.4935064935065</v>
      </c>
      <c r="S67" s="304"/>
      <c r="T67" s="369" t="s">
        <v>52</v>
      </c>
      <c r="U67" s="400">
        <f>2*N67/M68</f>
        <v>0.01583045088223692</v>
      </c>
      <c r="V67" s="400"/>
      <c r="W67" s="369" t="s">
        <v>61</v>
      </c>
      <c r="X67" s="400">
        <f>2*R67/Q68</f>
        <v>0.04273494069633887</v>
      </c>
      <c r="Y67" s="400"/>
      <c r="Z67" s="369" t="s">
        <v>52</v>
      </c>
      <c r="AA67" s="400">
        <f>IF(dpress&gt;=0,"***",U67+X67)</f>
        <v>0.058565391578575786</v>
      </c>
      <c r="AB67" s="400"/>
      <c r="AC67" s="403" t="str">
        <f>IF(dpress&gt;=0,"***",IF(AA67&lt;AD67,"&lt;",IF(AA67=AD67,"=","&gt;")))</f>
        <v>&lt;</v>
      </c>
      <c r="AD67" s="386">
        <f>J67</f>
        <v>1</v>
      </c>
      <c r="AE67" s="386"/>
      <c r="AF67" s="402" t="str">
        <f>IF(dpress&gt;=0,"***",IF(AA67&lt;=AD67,"OK !","Not Acceptable !"))</f>
        <v>OK !</v>
      </c>
      <c r="AG67" s="402"/>
      <c r="AH67" s="402"/>
      <c r="AI67" s="402"/>
      <c r="AJ67" s="402"/>
    </row>
    <row r="68" spans="1:36" ht="9.75" customHeight="1">
      <c r="A68" s="1"/>
      <c r="B68" s="1"/>
      <c r="C68" s="1"/>
      <c r="D68" s="243" t="str">
        <f>D39</f>
        <v>ScrA</v>
      </c>
      <c r="E68" s="243"/>
      <c r="F68" s="369"/>
      <c r="G68" s="243" t="str">
        <f>G39</f>
        <v>ScrB</v>
      </c>
      <c r="H68" s="243"/>
      <c r="I68" s="369"/>
      <c r="J68" s="386"/>
      <c r="K68" s="386"/>
      <c r="L68" s="368"/>
      <c r="M68" s="371">
        <f>ABS(IF(AD60&lt;=M62/2,AD60,AD62))</f>
        <v>37901.63681776429</v>
      </c>
      <c r="N68" s="371"/>
      <c r="O68" s="371"/>
      <c r="P68" s="369"/>
      <c r="Q68" s="371">
        <f>ABS(IF(AD63&lt;=M62/2,AD63,AD65))</f>
        <v>37743.986225426044</v>
      </c>
      <c r="R68" s="371"/>
      <c r="S68" s="371"/>
      <c r="T68" s="369"/>
      <c r="U68" s="400"/>
      <c r="V68" s="400"/>
      <c r="W68" s="369"/>
      <c r="X68" s="400"/>
      <c r="Y68" s="400"/>
      <c r="Z68" s="369"/>
      <c r="AA68" s="400"/>
      <c r="AB68" s="400"/>
      <c r="AC68" s="403"/>
      <c r="AD68" s="386"/>
      <c r="AE68" s="386"/>
      <c r="AF68" s="402"/>
      <c r="AG68" s="402"/>
      <c r="AH68" s="402"/>
      <c r="AI68" s="402"/>
      <c r="AJ68" s="402"/>
    </row>
    <row r="69" spans="1:29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AC69" s="3"/>
    </row>
    <row r="70" spans="1:28" ht="9.75" customHeight="1">
      <c r="A70" s="6"/>
      <c r="B70" s="6"/>
      <c r="C70" s="6"/>
      <c r="D70" s="6" t="s">
        <v>751</v>
      </c>
      <c r="E70" s="6"/>
      <c r="F70" s="308" t="str">
        <f>D68</f>
        <v>ScrA</v>
      </c>
      <c r="G70" s="308"/>
      <c r="H70" s="369" t="s">
        <v>52</v>
      </c>
      <c r="I70" s="7" t="str">
        <f>D60&amp;"   when  "&amp;D60&amp;"  ≤  Sy / 2"</f>
        <v>S'crA   when  S'crA  ≤  Sy / 2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Y70" s="3"/>
      <c r="Z70" s="3"/>
      <c r="AA70" s="3"/>
      <c r="AB70" s="3"/>
    </row>
    <row r="71" spans="1:30" ht="9.75" customHeight="1">
      <c r="A71" s="1"/>
      <c r="B71" s="1"/>
      <c r="C71" s="1"/>
      <c r="D71" s="1"/>
      <c r="E71" s="1"/>
      <c r="F71" s="308"/>
      <c r="G71" s="308"/>
      <c r="H71" s="369"/>
      <c r="I71" s="7" t="str">
        <f>D62&amp;"  when  "&amp;D60&amp;"  &gt;  Sy / 2"</f>
        <v>S''crA  when  S'crA  &gt;  Sy / 2</v>
      </c>
      <c r="J71" s="1"/>
      <c r="Q71" s="1"/>
      <c r="R71" s="1"/>
      <c r="S71" s="1"/>
      <c r="T71" s="1"/>
      <c r="U71" s="1"/>
      <c r="AD71" s="3"/>
    </row>
    <row r="72" spans="1:36" ht="9.75" customHeight="1">
      <c r="A72" s="6"/>
      <c r="B72" s="6"/>
      <c r="C72" s="6"/>
      <c r="D72" s="6"/>
      <c r="E72" s="6"/>
      <c r="F72" s="308" t="str">
        <f>G68</f>
        <v>ScrB</v>
      </c>
      <c r="G72" s="308"/>
      <c r="H72" s="369" t="s">
        <v>52</v>
      </c>
      <c r="I72" s="7" t="str">
        <f>D63&amp;"   when  "&amp;D63&amp;"  ≤  Sy / 2"</f>
        <v>S'crB   when  S'crB  ≤  Sy / 2</v>
      </c>
      <c r="J72" s="6"/>
      <c r="K72" s="3"/>
      <c r="L72" s="3"/>
      <c r="M72" s="3"/>
      <c r="N72" s="3"/>
      <c r="O72" s="3"/>
      <c r="P72" s="3"/>
      <c r="Q72" s="3"/>
      <c r="R72" s="3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29" ht="9.75" customHeight="1">
      <c r="A73" s="1"/>
      <c r="B73" s="1"/>
      <c r="C73" s="1"/>
      <c r="D73" s="1"/>
      <c r="E73" s="1"/>
      <c r="F73" s="308"/>
      <c r="G73" s="308"/>
      <c r="H73" s="369"/>
      <c r="I73" s="7" t="str">
        <f>D65&amp;"   when  "&amp;D63&amp;"  &gt;  Sy / 2"</f>
        <v>S''crB   when  S'crB  &gt;  Sy / 2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AC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</row>
    <row r="75" spans="1:34" ht="9.75" customHeight="1">
      <c r="A75" s="23" t="str">
        <f>cosymbol</f>
        <v> NTES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76" spans="1:34" ht="9.75" customHeight="1">
      <c r="A76" s="374" t="str">
        <f>title</f>
        <v>S T R E N G T H     C A L.     o f     R E C T A N G U L A R     V E S S E L</v>
      </c>
      <c r="B76" s="374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</row>
    <row r="77" spans="1:34" ht="9.75" customHeight="1">
      <c r="A77" s="375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</row>
    <row r="78" spans="1:34" ht="9.75" customHeight="1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</row>
    <row r="79" spans="1:32" ht="9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3"/>
      <c r="W79" s="3"/>
      <c r="X79" s="3"/>
      <c r="Y79" s="3"/>
      <c r="Z79" s="3"/>
      <c r="AA79" s="3"/>
      <c r="AB79" s="3"/>
      <c r="AC79" s="4"/>
      <c r="AD79" s="5"/>
      <c r="AE79" s="5"/>
      <c r="AF79" s="5"/>
    </row>
    <row r="80" spans="1:29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AC80" s="3"/>
    </row>
    <row r="81" spans="1:34" ht="9.75" customHeight="1">
      <c r="A81" s="6"/>
      <c r="B81" s="6" t="s">
        <v>11</v>
      </c>
      <c r="C81" s="6"/>
      <c r="D81" s="6"/>
      <c r="E81" s="7" t="str">
        <f>project</f>
        <v>Programming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5"/>
      <c r="U81" s="5"/>
      <c r="V81" s="5"/>
      <c r="Y81" s="3"/>
      <c r="Z81" s="6" t="s">
        <v>12</v>
      </c>
      <c r="AA81" s="3"/>
      <c r="AB81" s="3"/>
      <c r="AC81" s="304" t="str">
        <f>docno</f>
        <v>SC - RPV - 100</v>
      </c>
      <c r="AD81" s="304"/>
      <c r="AE81" s="304"/>
      <c r="AF81" s="304"/>
      <c r="AG81" s="304"/>
      <c r="AH81" s="4"/>
    </row>
    <row r="82" spans="1:34" ht="9.75" customHeight="1">
      <c r="A82" s="6"/>
      <c r="B82" s="6" t="s">
        <v>13</v>
      </c>
      <c r="C82" s="6"/>
      <c r="D82" s="6"/>
      <c r="E82" s="7" t="str">
        <f>itemno</f>
        <v>13-17 Example, P430~1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"/>
      <c r="U82" s="5"/>
      <c r="V82" s="5"/>
      <c r="Y82" s="6"/>
      <c r="Z82" s="6" t="s">
        <v>14</v>
      </c>
      <c r="AA82" s="3"/>
      <c r="AB82" s="3"/>
      <c r="AC82" s="304">
        <f>AC6+1</f>
        <v>3</v>
      </c>
      <c r="AD82" s="304"/>
      <c r="AE82" s="8" t="s">
        <v>15</v>
      </c>
      <c r="AF82" s="304" t="str">
        <f>sheetqty</f>
        <v>x</v>
      </c>
      <c r="AG82" s="304"/>
      <c r="AH82" s="4"/>
    </row>
    <row r="83" spans="1:34" ht="9.75" customHeight="1">
      <c r="A83" s="6"/>
      <c r="B83" s="6" t="s">
        <v>16</v>
      </c>
      <c r="C83" s="6"/>
      <c r="D83" s="6"/>
      <c r="E83" s="7" t="str">
        <f>service</f>
        <v>Rectangular Vessel</v>
      </c>
      <c r="F83" s="6"/>
      <c r="G83" s="6"/>
      <c r="H83" s="6"/>
      <c r="I83" s="6"/>
      <c r="J83" s="6"/>
      <c r="K83" s="6" t="s">
        <v>683</v>
      </c>
      <c r="L83" s="6"/>
      <c r="M83" s="6"/>
      <c r="N83" s="6"/>
      <c r="O83" s="6"/>
      <c r="P83" s="6"/>
      <c r="Q83" s="6"/>
      <c r="R83" s="6"/>
      <c r="S83" s="6"/>
      <c r="Y83" s="6"/>
      <c r="Z83" s="3" t="s">
        <v>22</v>
      </c>
      <c r="AA83" s="3"/>
      <c r="AB83" s="3"/>
      <c r="AC83" s="311" t="s">
        <v>682</v>
      </c>
      <c r="AD83" s="311"/>
      <c r="AE83" s="311"/>
      <c r="AF83" s="311"/>
      <c r="AG83" s="311"/>
      <c r="AH83" s="3"/>
    </row>
    <row r="84" spans="1:33" ht="9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"/>
      <c r="W84" s="3"/>
      <c r="X84" s="3"/>
      <c r="Y84" s="3"/>
      <c r="Z84" s="6" t="s">
        <v>17</v>
      </c>
      <c r="AA84" s="3"/>
      <c r="AB84" s="3"/>
      <c r="AC84" s="8">
        <v>0</v>
      </c>
      <c r="AD84" s="16"/>
      <c r="AE84" s="16"/>
      <c r="AF84" s="16"/>
      <c r="AG84" s="16"/>
    </row>
    <row r="85" spans="1:29" ht="9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"/>
      <c r="W85" s="3"/>
      <c r="X85" s="3"/>
      <c r="Y85" s="3"/>
      <c r="Z85" s="3"/>
      <c r="AA85" s="3"/>
      <c r="AB85" s="3"/>
      <c r="AC85" s="3"/>
    </row>
    <row r="86" spans="1:29" ht="9.75" customHeight="1">
      <c r="A86" s="1"/>
      <c r="B86" s="1"/>
      <c r="C86" s="62" t="s">
        <v>716</v>
      </c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AC86" s="3"/>
    </row>
    <row r="87" spans="1:29" ht="9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"/>
      <c r="W87" s="3"/>
      <c r="X87" s="3"/>
      <c r="Y87" s="3"/>
      <c r="Z87" s="3"/>
      <c r="AA87" s="3"/>
      <c r="AB87" s="3"/>
      <c r="AC87" s="3"/>
    </row>
    <row r="88" spans="1:34" ht="9.75" customHeight="1">
      <c r="A88" s="1"/>
      <c r="B88" s="1"/>
      <c r="C88" s="1"/>
      <c r="D88" s="372" t="s">
        <v>717</v>
      </c>
      <c r="E88" s="372"/>
      <c r="F88" s="367" t="s">
        <v>677</v>
      </c>
      <c r="G88" s="373" t="s">
        <v>718</v>
      </c>
      <c r="H88" s="373"/>
      <c r="I88" s="373"/>
      <c r="J88" s="373"/>
      <c r="K88" s="369" t="s">
        <v>677</v>
      </c>
      <c r="N88" s="275">
        <f>AD14</f>
        <v>-115</v>
      </c>
      <c r="O88" s="275"/>
      <c r="P88" s="21" t="s">
        <v>680</v>
      </c>
      <c r="Q88" s="370">
        <f>AD16</f>
        <v>374.65</v>
      </c>
      <c r="R88" s="275"/>
      <c r="S88" s="21" t="s">
        <v>680</v>
      </c>
      <c r="T88" s="370">
        <f>AD19</f>
        <v>228.59999999999997</v>
      </c>
      <c r="U88" s="275"/>
      <c r="AC88" s="381" t="s">
        <v>52</v>
      </c>
      <c r="AD88" s="383">
        <f>IF(dpress&gt;=0,"***",N88*Q88*T88/(2*(M89*P89+S89*V89)))</f>
        <v>-374.63190184049074</v>
      </c>
      <c r="AE88" s="383"/>
      <c r="AF88" s="383"/>
      <c r="AG88" s="382" t="str">
        <f>upsx(dpu)</f>
        <v>psi</v>
      </c>
      <c r="AH88" s="382"/>
    </row>
    <row r="89" spans="1:36" ht="9.75" customHeight="1">
      <c r="A89" s="6"/>
      <c r="B89" s="6"/>
      <c r="C89" s="6"/>
      <c r="D89" s="372"/>
      <c r="E89" s="372"/>
      <c r="F89" s="367"/>
      <c r="G89" s="23" t="s">
        <v>775</v>
      </c>
      <c r="H89" s="23"/>
      <c r="I89" s="23"/>
      <c r="J89" s="23"/>
      <c r="K89" s="369"/>
      <c r="L89" s="23" t="s">
        <v>687</v>
      </c>
      <c r="M89" s="384">
        <f>AD20</f>
        <v>15.875</v>
      </c>
      <c r="N89" s="227"/>
      <c r="O89" s="22" t="s">
        <v>680</v>
      </c>
      <c r="P89" s="384">
        <f>T88</f>
        <v>228.59999999999997</v>
      </c>
      <c r="Q89" s="227"/>
      <c r="R89" s="22" t="s">
        <v>61</v>
      </c>
      <c r="S89" s="384">
        <f>AD17</f>
        <v>25.4</v>
      </c>
      <c r="T89" s="227"/>
      <c r="U89" s="22" t="s">
        <v>680</v>
      </c>
      <c r="V89" s="384">
        <f>Q88</f>
        <v>374.65</v>
      </c>
      <c r="W89" s="227"/>
      <c r="X89" s="22" t="s">
        <v>89</v>
      </c>
      <c r="AC89" s="381"/>
      <c r="AD89" s="383"/>
      <c r="AE89" s="383"/>
      <c r="AF89" s="383"/>
      <c r="AG89" s="382"/>
      <c r="AH89" s="382"/>
      <c r="AJ89" s="6"/>
    </row>
    <row r="90" spans="1:28" ht="9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"/>
      <c r="W90" s="3"/>
      <c r="X90" s="3"/>
      <c r="Y90" s="3"/>
      <c r="Z90" s="3"/>
      <c r="AA90" s="3"/>
      <c r="AB90" s="3"/>
    </row>
    <row r="91" spans="1:32" ht="9.75" customHeight="1">
      <c r="A91" s="1"/>
      <c r="B91" s="1"/>
      <c r="C91" s="1"/>
      <c r="D91" s="42" t="s">
        <v>730</v>
      </c>
      <c r="E91" s="1"/>
      <c r="F91" s="1"/>
      <c r="G91" s="1"/>
      <c r="H91" s="1"/>
      <c r="I91" s="1"/>
      <c r="J91" s="9" t="s">
        <v>729</v>
      </c>
      <c r="O91" s="1"/>
      <c r="P91" s="1"/>
      <c r="Q91" s="1"/>
      <c r="R91" s="1"/>
      <c r="S91" s="1"/>
      <c r="T91" s="1"/>
      <c r="U91" s="1"/>
      <c r="AC91" s="1" t="s">
        <v>52</v>
      </c>
      <c r="AD91" s="390">
        <f>IF(dpress&gt;=0,"***",0.289*MIN(ABS(((AD19*AD16^3-AD15*AD18^3)/(AD19*AD16-AD15*AD18)))^0.5,ABS(((AD16*AD19^3-AD18*AD15^3)/(AD16*AD19-AD18*AD15)))^0.5))</f>
        <v>64.6132358554984</v>
      </c>
      <c r="AE91" s="390"/>
      <c r="AF91" s="390"/>
    </row>
    <row r="92" spans="1:42" ht="9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"/>
      <c r="W92" s="3"/>
      <c r="X92" s="3"/>
      <c r="Y92" s="3"/>
      <c r="Z92" s="3"/>
      <c r="AA92" s="3"/>
      <c r="AB92" s="3"/>
      <c r="AC92" s="3"/>
      <c r="AO92" s="304"/>
      <c r="AP92" s="304"/>
    </row>
    <row r="93" spans="1:32" ht="9.75" customHeight="1">
      <c r="A93" s="1"/>
      <c r="B93" s="1"/>
      <c r="C93" s="1"/>
      <c r="D93" s="9" t="s">
        <v>719</v>
      </c>
      <c r="E93" s="1"/>
      <c r="F93" s="1" t="s">
        <v>52</v>
      </c>
      <c r="G93" s="1" t="s">
        <v>721</v>
      </c>
      <c r="H93" s="1"/>
      <c r="I93" s="1"/>
      <c r="J93" s="1"/>
      <c r="K93" s="1"/>
      <c r="L93" s="21" t="s">
        <v>52</v>
      </c>
      <c r="M93" s="21" t="s">
        <v>88</v>
      </c>
      <c r="N93" s="21">
        <v>2</v>
      </c>
      <c r="O93" s="21" t="s">
        <v>21</v>
      </c>
      <c r="P93" s="275">
        <f>PI()</f>
        <v>3.141592653589793</v>
      </c>
      <c r="Q93" s="275"/>
      <c r="R93" s="1" t="s">
        <v>60</v>
      </c>
      <c r="S93" s="21" t="s">
        <v>21</v>
      </c>
      <c r="T93" s="275">
        <f>moetema(mindex(shellm,2),dtemp,dtu,dpu)</f>
        <v>25850000</v>
      </c>
      <c r="U93" s="275"/>
      <c r="V93" s="8" t="s">
        <v>78</v>
      </c>
      <c r="W93" s="387">
        <f>AD23</f>
        <v>38000</v>
      </c>
      <c r="X93" s="304"/>
      <c r="Y93" s="2" t="s">
        <v>289</v>
      </c>
      <c r="AC93" s="8" t="s">
        <v>52</v>
      </c>
      <c r="AD93" s="390">
        <f>IF(dpress&gt;=0,"***",(N93*P93^2*T93/W93)^0.5)</f>
        <v>115.87862837518261</v>
      </c>
      <c r="AE93" s="390"/>
      <c r="AF93" s="390"/>
    </row>
    <row r="94" spans="1:29" ht="9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AC94" s="3"/>
    </row>
    <row r="95" spans="1:29" ht="9.75" customHeight="1">
      <c r="A95" s="6"/>
      <c r="B95" s="6"/>
      <c r="C95" s="6"/>
      <c r="D95" s="7" t="s">
        <v>731</v>
      </c>
      <c r="E95" s="6"/>
      <c r="F95" s="6"/>
      <c r="G95" s="6" t="s">
        <v>52</v>
      </c>
      <c r="H95" s="21">
        <v>2</v>
      </c>
      <c r="I95" s="21" t="s">
        <v>21</v>
      </c>
      <c r="J95" s="393">
        <f>AD22</f>
        <v>1000</v>
      </c>
      <c r="K95" s="393"/>
      <c r="L95" s="8" t="s">
        <v>78</v>
      </c>
      <c r="M95" s="389">
        <f>AD91</f>
        <v>64.6132358554984</v>
      </c>
      <c r="N95" s="389"/>
      <c r="O95" s="8" t="s">
        <v>52</v>
      </c>
      <c r="P95" s="391">
        <f>H95*J95/M95</f>
        <v>30.95341029619407</v>
      </c>
      <c r="Q95" s="391"/>
      <c r="R95" s="6"/>
      <c r="S95" s="119" t="str">
        <f>IF(P95&lt;=U95,"≤","&gt;")</f>
        <v>≤</v>
      </c>
      <c r="T95" s="6"/>
      <c r="U95" s="392">
        <f>AD93</f>
        <v>115.87862837518261</v>
      </c>
      <c r="V95" s="288"/>
      <c r="W95" s="21" t="s">
        <v>52</v>
      </c>
      <c r="X95" s="7" t="s">
        <v>719</v>
      </c>
      <c r="Y95" s="6"/>
      <c r="Z95" s="6"/>
      <c r="AA95" s="3"/>
      <c r="AB95" s="3"/>
      <c r="AC95" s="3"/>
    </row>
    <row r="96" spans="1:29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AC96" s="3"/>
    </row>
    <row r="97" spans="1:29" ht="9.75" customHeight="1">
      <c r="A97" s="6"/>
      <c r="B97" s="6"/>
      <c r="C97" s="6"/>
      <c r="D97" s="7" t="s">
        <v>732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"/>
      <c r="W97" s="3"/>
      <c r="X97" s="3"/>
      <c r="Y97" s="3"/>
      <c r="Z97" s="3"/>
      <c r="AA97" s="3"/>
      <c r="AB97" s="3"/>
      <c r="AC97" s="3"/>
    </row>
    <row r="98" spans="1:29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AC98" s="3"/>
    </row>
    <row r="99" spans="1:28" ht="9.75" customHeight="1">
      <c r="A99" s="6"/>
      <c r="B99" s="6"/>
      <c r="C99" s="6"/>
      <c r="G99" s="369" t="s">
        <v>54</v>
      </c>
      <c r="H99" s="369">
        <v>1</v>
      </c>
      <c r="I99" s="369" t="s">
        <v>83</v>
      </c>
      <c r="J99" s="275" t="s">
        <v>776</v>
      </c>
      <c r="K99" s="275"/>
      <c r="L99" s="275"/>
      <c r="M99" s="369" t="s">
        <v>57</v>
      </c>
      <c r="N99" s="369" t="s">
        <v>342</v>
      </c>
      <c r="O99" s="6"/>
      <c r="P99" s="6"/>
      <c r="Q99" s="6"/>
      <c r="R99" s="6"/>
      <c r="S99" s="6"/>
      <c r="T99" s="6"/>
      <c r="U99" s="6"/>
      <c r="V99" s="3"/>
      <c r="W99" s="3"/>
      <c r="X99" s="3"/>
      <c r="Y99" s="3"/>
      <c r="Z99" s="3"/>
      <c r="AA99" s="3"/>
      <c r="AB99" s="3"/>
    </row>
    <row r="100" spans="1:28" ht="9.75" customHeight="1">
      <c r="A100" s="6"/>
      <c r="B100" s="6"/>
      <c r="C100" s="6"/>
      <c r="D100" s="372" t="s">
        <v>722</v>
      </c>
      <c r="E100" s="372"/>
      <c r="F100" s="367" t="s">
        <v>677</v>
      </c>
      <c r="G100" s="369"/>
      <c r="H100" s="369"/>
      <c r="I100" s="369"/>
      <c r="J100" s="227" t="s">
        <v>723</v>
      </c>
      <c r="K100" s="227"/>
      <c r="L100" s="227"/>
      <c r="M100" s="369"/>
      <c r="N100" s="369"/>
      <c r="O100" s="6"/>
      <c r="P100" s="6"/>
      <c r="Q100" s="6"/>
      <c r="R100" s="6"/>
      <c r="S100" s="6"/>
      <c r="T100" s="6"/>
      <c r="U100" s="6"/>
      <c r="V100" s="3"/>
      <c r="W100" s="3"/>
      <c r="X100" s="3"/>
      <c r="Y100" s="3"/>
      <c r="Z100" s="3"/>
      <c r="AA100" s="3"/>
      <c r="AB100" s="3"/>
    </row>
    <row r="101" spans="1:29" ht="9.75" customHeight="1">
      <c r="A101" s="1"/>
      <c r="B101" s="1"/>
      <c r="C101" s="1"/>
      <c r="D101" s="372"/>
      <c r="E101" s="372"/>
      <c r="F101" s="367"/>
      <c r="G101" s="22">
        <v>5</v>
      </c>
      <c r="H101" s="394" t="s">
        <v>61</v>
      </c>
      <c r="I101" s="227" t="s">
        <v>778</v>
      </c>
      <c r="J101" s="227"/>
      <c r="K101" s="227"/>
      <c r="L101" s="394" t="s">
        <v>83</v>
      </c>
      <c r="M101" s="227" t="s">
        <v>779</v>
      </c>
      <c r="N101" s="227"/>
      <c r="O101" s="227"/>
      <c r="P101" s="1"/>
      <c r="Q101" s="1"/>
      <c r="R101" s="1"/>
      <c r="S101" s="1"/>
      <c r="T101" s="1"/>
      <c r="U101" s="1"/>
      <c r="AC101" s="3"/>
    </row>
    <row r="102" spans="1:29" ht="9.75" customHeight="1">
      <c r="A102" s="6"/>
      <c r="B102" s="6"/>
      <c r="C102" s="6"/>
      <c r="D102" s="6"/>
      <c r="E102" s="6"/>
      <c r="F102" s="6"/>
      <c r="G102" s="22">
        <v>3</v>
      </c>
      <c r="H102" s="369"/>
      <c r="I102" s="227" t="s">
        <v>724</v>
      </c>
      <c r="J102" s="227"/>
      <c r="K102" s="227"/>
      <c r="L102" s="369"/>
      <c r="M102" s="227" t="s">
        <v>725</v>
      </c>
      <c r="N102" s="227"/>
      <c r="O102" s="227"/>
      <c r="P102" s="6"/>
      <c r="Q102" s="6"/>
      <c r="R102" s="6"/>
      <c r="S102" s="6"/>
      <c r="T102" s="6"/>
      <c r="U102" s="6"/>
      <c r="V102" s="3"/>
      <c r="W102" s="3"/>
      <c r="X102" s="3"/>
      <c r="Y102" s="3"/>
      <c r="Z102" s="3"/>
      <c r="AA102" s="3"/>
      <c r="AB102" s="3"/>
      <c r="AC102" s="3"/>
    </row>
    <row r="103" spans="1:29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AC103" s="3"/>
    </row>
    <row r="104" spans="1:29" ht="9.75" customHeight="1">
      <c r="A104" s="6"/>
      <c r="B104" s="6"/>
      <c r="C104" s="6"/>
      <c r="D104" s="6"/>
      <c r="E104" s="6"/>
      <c r="F104" s="6"/>
      <c r="G104" s="369" t="s">
        <v>54</v>
      </c>
      <c r="H104" s="369">
        <v>1</v>
      </c>
      <c r="I104" s="369" t="s">
        <v>83</v>
      </c>
      <c r="J104" s="21" t="s">
        <v>777</v>
      </c>
      <c r="K104" s="21" t="s">
        <v>781</v>
      </c>
      <c r="L104" s="393">
        <f>IF(P95&gt;U95,"***",J95)</f>
        <v>1000</v>
      </c>
      <c r="M104" s="393"/>
      <c r="N104" s="21" t="s">
        <v>78</v>
      </c>
      <c r="O104" s="370">
        <f>IF(P95&gt;U95,"***",AD91)</f>
        <v>64.6132358554984</v>
      </c>
      <c r="P104" s="370"/>
      <c r="Q104" s="21" t="s">
        <v>726</v>
      </c>
      <c r="R104" s="369" t="s">
        <v>57</v>
      </c>
      <c r="S104" s="369" t="s">
        <v>21</v>
      </c>
      <c r="T104" s="369">
        <f>IF(P95&gt;U95,"***",W93)</f>
        <v>38000</v>
      </c>
      <c r="U104" s="369"/>
      <c r="V104" s="3"/>
      <c r="W104" s="3"/>
      <c r="X104" s="3"/>
      <c r="Y104" s="3"/>
      <c r="Z104" s="3"/>
      <c r="AA104" s="3"/>
      <c r="AB104" s="3"/>
      <c r="AC104" s="3"/>
    </row>
    <row r="105" spans="1:32" ht="9.75" customHeight="1">
      <c r="A105" s="1"/>
      <c r="B105" s="1"/>
      <c r="C105" s="1"/>
      <c r="D105" s="1"/>
      <c r="E105" s="1"/>
      <c r="F105" s="367" t="s">
        <v>677</v>
      </c>
      <c r="G105" s="369"/>
      <c r="H105" s="369"/>
      <c r="I105" s="369"/>
      <c r="J105" s="114"/>
      <c r="K105" s="114"/>
      <c r="L105" s="114"/>
      <c r="M105" s="59">
        <v>2</v>
      </c>
      <c r="N105" s="59" t="s">
        <v>21</v>
      </c>
      <c r="O105" s="395">
        <f>IF(P95&gt;U95,"***",AD93)</f>
        <v>115.87862837518261</v>
      </c>
      <c r="P105" s="228"/>
      <c r="Q105" s="114" t="s">
        <v>60</v>
      </c>
      <c r="R105" s="369"/>
      <c r="S105" s="369"/>
      <c r="T105" s="369"/>
      <c r="U105" s="369"/>
      <c r="AA105" s="369" t="s">
        <v>52</v>
      </c>
      <c r="AB105" s="397">
        <f>IF(dpress&gt;=0,"***",IF(P95&gt;U95,"***",((H104-(2*L104/O104)^2/M105/O105^2)*T104)/(G106/G107+3*(2*K106/N106)/L107/N107-(2*T106/W106)^3/U107/W107^3)))</f>
        <v>20768.06800524858</v>
      </c>
      <c r="AC105" s="397"/>
      <c r="AD105" s="397"/>
      <c r="AE105" s="367" t="str">
        <f>upsx(dpu)</f>
        <v>psi</v>
      </c>
      <c r="AF105" s="367"/>
    </row>
    <row r="106" spans="1:32" ht="9.75" customHeight="1">
      <c r="A106" s="6"/>
      <c r="B106" s="6"/>
      <c r="C106" s="6"/>
      <c r="D106" s="6"/>
      <c r="E106" s="6"/>
      <c r="F106" s="367"/>
      <c r="G106" s="22">
        <v>5</v>
      </c>
      <c r="H106" s="394" t="s">
        <v>61</v>
      </c>
      <c r="I106" s="22">
        <v>3</v>
      </c>
      <c r="J106" s="22" t="s">
        <v>780</v>
      </c>
      <c r="K106" s="396">
        <f>L104</f>
        <v>1000</v>
      </c>
      <c r="L106" s="396"/>
      <c r="M106" s="22" t="s">
        <v>78</v>
      </c>
      <c r="N106" s="384">
        <f>O104</f>
        <v>64.6132358554984</v>
      </c>
      <c r="O106" s="384"/>
      <c r="P106" s="22" t="s">
        <v>728</v>
      </c>
      <c r="Q106" s="394" t="s">
        <v>83</v>
      </c>
      <c r="R106" s="22" t="s">
        <v>777</v>
      </c>
      <c r="S106" s="22" t="s">
        <v>781</v>
      </c>
      <c r="T106" s="396">
        <f>L104</f>
        <v>1000</v>
      </c>
      <c r="U106" s="396"/>
      <c r="V106" s="22" t="s">
        <v>78</v>
      </c>
      <c r="W106" s="384">
        <f>O104</f>
        <v>64.6132358554984</v>
      </c>
      <c r="X106" s="227"/>
      <c r="Y106" s="22" t="s">
        <v>727</v>
      </c>
      <c r="Z106" s="3"/>
      <c r="AA106" s="369"/>
      <c r="AB106" s="397"/>
      <c r="AC106" s="397"/>
      <c r="AD106" s="397"/>
      <c r="AE106" s="367"/>
      <c r="AF106" s="367"/>
    </row>
    <row r="107" spans="1:29" ht="9.75" customHeight="1">
      <c r="A107" s="1"/>
      <c r="B107" s="1"/>
      <c r="C107" s="1"/>
      <c r="D107" s="1"/>
      <c r="E107" s="1"/>
      <c r="F107" s="1"/>
      <c r="G107" s="22">
        <v>3</v>
      </c>
      <c r="H107" s="369"/>
      <c r="I107" s="10"/>
      <c r="J107" s="10"/>
      <c r="K107" s="10"/>
      <c r="L107" s="22">
        <v>8</v>
      </c>
      <c r="M107" s="22" t="s">
        <v>21</v>
      </c>
      <c r="N107" s="384">
        <f>O105</f>
        <v>115.87862837518261</v>
      </c>
      <c r="O107" s="227"/>
      <c r="P107" s="10"/>
      <c r="Q107" s="369"/>
      <c r="R107" s="10"/>
      <c r="S107" s="10"/>
      <c r="T107" s="10"/>
      <c r="U107" s="22">
        <v>8</v>
      </c>
      <c r="V107" s="22" t="s">
        <v>21</v>
      </c>
      <c r="W107" s="384">
        <f>O105</f>
        <v>115.87862837518261</v>
      </c>
      <c r="X107" s="227"/>
      <c r="Y107" s="10" t="s">
        <v>589</v>
      </c>
      <c r="AC107" s="3"/>
    </row>
    <row r="108" spans="1:29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AC108" s="3"/>
    </row>
    <row r="109" spans="1:28" ht="9.75" customHeight="1">
      <c r="A109" s="6"/>
      <c r="B109" s="6"/>
      <c r="C109" s="6"/>
      <c r="D109" s="7" t="s">
        <v>733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"/>
      <c r="W109" s="3"/>
      <c r="X109" s="3"/>
      <c r="Y109" s="3"/>
      <c r="Z109" s="3"/>
      <c r="AA109" s="3"/>
      <c r="AB109" s="3"/>
    </row>
    <row r="110" spans="1:29" ht="9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"/>
      <c r="W110" s="3"/>
      <c r="X110" s="3"/>
      <c r="Y110" s="3"/>
      <c r="Z110" s="3"/>
      <c r="AA110" s="3"/>
      <c r="AB110" s="3"/>
      <c r="AC110" s="3"/>
    </row>
    <row r="111" spans="1:32" ht="9.75" customHeight="1">
      <c r="A111" s="6"/>
      <c r="B111" s="6"/>
      <c r="C111" s="6"/>
      <c r="D111" s="372" t="s">
        <v>722</v>
      </c>
      <c r="E111" s="372"/>
      <c r="F111" s="367" t="s">
        <v>677</v>
      </c>
      <c r="G111" s="275" t="s">
        <v>734</v>
      </c>
      <c r="H111" s="275"/>
      <c r="I111" s="275"/>
      <c r="J111" s="275"/>
      <c r="K111" s="369" t="s">
        <v>677</v>
      </c>
      <c r="L111" s="21">
        <v>12</v>
      </c>
      <c r="M111" s="21" t="s">
        <v>21</v>
      </c>
      <c r="N111" s="275">
        <f>PI()</f>
        <v>3.141592653589793</v>
      </c>
      <c r="O111" s="275"/>
      <c r="P111" s="1" t="s">
        <v>60</v>
      </c>
      <c r="Q111" s="21" t="s">
        <v>21</v>
      </c>
      <c r="R111" s="275" t="str">
        <f>IF(P95&lt;=U95,"***",T93)</f>
        <v>***</v>
      </c>
      <c r="S111" s="275"/>
      <c r="T111" s="6"/>
      <c r="U111" s="6"/>
      <c r="V111" s="3"/>
      <c r="W111" s="3"/>
      <c r="X111" s="3"/>
      <c r="Y111" s="3"/>
      <c r="Z111" s="3"/>
      <c r="AA111" s="369" t="s">
        <v>52</v>
      </c>
      <c r="AB111" s="397" t="str">
        <f>IF(dpress&gt;=0,"***",IF(P95&lt;=U95,"***",L111*N111^2*R111/(L112*(N112*P112/S112)^2)))</f>
        <v>***</v>
      </c>
      <c r="AC111" s="397"/>
      <c r="AD111" s="397"/>
      <c r="AE111" s="367" t="str">
        <f>AE105</f>
        <v>psi</v>
      </c>
      <c r="AF111" s="367"/>
    </row>
    <row r="112" spans="1:32" ht="9.75" customHeight="1">
      <c r="A112" s="1"/>
      <c r="B112" s="1"/>
      <c r="C112" s="1"/>
      <c r="D112" s="372"/>
      <c r="E112" s="372"/>
      <c r="F112" s="367"/>
      <c r="G112" s="227" t="s">
        <v>735</v>
      </c>
      <c r="H112" s="227"/>
      <c r="I112" s="227"/>
      <c r="J112" s="227"/>
      <c r="K112" s="369"/>
      <c r="L112" s="22">
        <v>23</v>
      </c>
      <c r="M112" s="22" t="s">
        <v>288</v>
      </c>
      <c r="N112" s="22">
        <v>2</v>
      </c>
      <c r="O112" s="22" t="s">
        <v>21</v>
      </c>
      <c r="P112" s="396" t="str">
        <f>IF(P95&lt;=U95,"***",J95)</f>
        <v>***</v>
      </c>
      <c r="Q112" s="396"/>
      <c r="R112" s="22" t="s">
        <v>78</v>
      </c>
      <c r="S112" s="384" t="str">
        <f>IF(P95&lt;=U95,"***",AD91)</f>
        <v>***</v>
      </c>
      <c r="T112" s="227"/>
      <c r="U112" s="10" t="s">
        <v>726</v>
      </c>
      <c r="AA112" s="369"/>
      <c r="AB112" s="397"/>
      <c r="AC112" s="397"/>
      <c r="AD112" s="397"/>
      <c r="AE112" s="367"/>
      <c r="AF112" s="367"/>
    </row>
    <row r="113" spans="1:29" ht="9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"/>
      <c r="W113" s="3"/>
      <c r="X113" s="3"/>
      <c r="Y113" s="3"/>
      <c r="Z113" s="3"/>
      <c r="AA113" s="3"/>
      <c r="AB113" s="3"/>
      <c r="AC113" s="3"/>
    </row>
    <row r="114" spans="1:28" ht="9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"/>
      <c r="W114" s="3"/>
      <c r="X114" s="3"/>
      <c r="Y114" s="3"/>
      <c r="Z114" s="3"/>
      <c r="AA114" s="3"/>
      <c r="AB114" s="3"/>
    </row>
    <row r="115" spans="1:31" ht="9.75" customHeight="1">
      <c r="A115" s="1"/>
      <c r="B115" s="1"/>
      <c r="C115" s="1"/>
      <c r="D115" s="27" t="s">
        <v>580</v>
      </c>
      <c r="E115" s="1"/>
      <c r="F115" s="1" t="s">
        <v>52</v>
      </c>
      <c r="G115" s="1" t="s">
        <v>738</v>
      </c>
      <c r="H115" s="1"/>
      <c r="I115" s="1"/>
      <c r="J115" s="21" t="s">
        <v>52</v>
      </c>
      <c r="K115" s="275">
        <f>N88</f>
        <v>-115</v>
      </c>
      <c r="L115" s="275"/>
      <c r="M115" s="21" t="s">
        <v>21</v>
      </c>
      <c r="N115" s="370">
        <f>Q88</f>
        <v>374.65</v>
      </c>
      <c r="O115" s="275"/>
      <c r="P115" s="21" t="s">
        <v>21</v>
      </c>
      <c r="Q115" s="370">
        <f>T88</f>
        <v>228.59999999999997</v>
      </c>
      <c r="R115" s="275"/>
      <c r="S115" s="21" t="s">
        <v>21</v>
      </c>
      <c r="T115" s="296">
        <v>0</v>
      </c>
      <c r="U115" s="296"/>
      <c r="AA115" s="8" t="s">
        <v>52</v>
      </c>
      <c r="AB115" s="366">
        <f>IF(dpress&gt;=0,"***",K115*N115*Q115*T115)</f>
        <v>0</v>
      </c>
      <c r="AC115" s="366"/>
      <c r="AD115" s="366"/>
      <c r="AE115" s="2" t="str">
        <f>AE111&amp;"-mm"</f>
        <v>psi-mm</v>
      </c>
    </row>
    <row r="116" spans="1:29" ht="9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"/>
      <c r="W116" s="3"/>
      <c r="X116" s="3"/>
      <c r="Y116" s="3"/>
      <c r="Z116" s="3"/>
      <c r="AA116" s="3"/>
      <c r="AB116" s="3"/>
      <c r="AC116" s="3"/>
    </row>
    <row r="117" spans="1:31" ht="9.75" customHeight="1">
      <c r="A117" s="1"/>
      <c r="B117" s="1"/>
      <c r="C117" s="1"/>
      <c r="D117" s="27" t="s">
        <v>743</v>
      </c>
      <c r="E117" s="1"/>
      <c r="F117" s="1" t="s">
        <v>52</v>
      </c>
      <c r="G117" s="1" t="s">
        <v>68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AA117" s="8" t="s">
        <v>52</v>
      </c>
      <c r="AB117" s="398">
        <f>IF(K115&gt;=0,"***",ABS(N115*Q115^3-AD18*AD15^3)/12)</f>
        <v>139073325.07860008</v>
      </c>
      <c r="AC117" s="398"/>
      <c r="AD117" s="398"/>
      <c r="AE117" s="2" t="s">
        <v>72</v>
      </c>
    </row>
    <row r="118" spans="1:28" ht="9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"/>
      <c r="W118" s="3"/>
      <c r="X118" s="3"/>
      <c r="Y118" s="3"/>
      <c r="Z118" s="3"/>
      <c r="AA118" s="3"/>
      <c r="AB118" s="3"/>
    </row>
    <row r="119" spans="1:31" ht="9.75" customHeight="1">
      <c r="A119" s="1"/>
      <c r="B119" s="1"/>
      <c r="C119" s="1"/>
      <c r="D119" s="27" t="s">
        <v>736</v>
      </c>
      <c r="E119" s="1"/>
      <c r="F119" s="1" t="s">
        <v>52</v>
      </c>
      <c r="G119" s="1" t="s">
        <v>737</v>
      </c>
      <c r="H119" s="1"/>
      <c r="I119" s="1"/>
      <c r="J119" s="21" t="s">
        <v>52</v>
      </c>
      <c r="K119" s="273">
        <f>AB115</f>
        <v>0</v>
      </c>
      <c r="L119" s="275"/>
      <c r="M119" s="21" t="s">
        <v>21</v>
      </c>
      <c r="N119" s="275">
        <f>sci1</f>
        <v>7.9375</v>
      </c>
      <c r="O119" s="275"/>
      <c r="P119" s="21" t="s">
        <v>78</v>
      </c>
      <c r="Q119" s="399">
        <f>AB117</f>
        <v>139073325.07860008</v>
      </c>
      <c r="R119" s="399"/>
      <c r="S119" s="399"/>
      <c r="T119" s="1"/>
      <c r="U119" s="1"/>
      <c r="AA119" s="8" t="s">
        <v>52</v>
      </c>
      <c r="AB119" s="366">
        <f>IF(dpress&gt;=0,"***",K119*N119/Q119)</f>
        <v>0</v>
      </c>
      <c r="AC119" s="366"/>
      <c r="AD119" s="366"/>
      <c r="AE119" s="2" t="str">
        <f>upsx(dpu)</f>
        <v>psi</v>
      </c>
    </row>
    <row r="120" spans="1:29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AC120" s="3"/>
    </row>
    <row r="121" spans="1:32" ht="9.75" customHeight="1">
      <c r="A121" s="1"/>
      <c r="B121" s="1"/>
      <c r="C121" s="1"/>
      <c r="D121" s="372" t="s">
        <v>744</v>
      </c>
      <c r="E121" s="372"/>
      <c r="F121" s="367" t="s">
        <v>677</v>
      </c>
      <c r="G121" s="275" t="s">
        <v>734</v>
      </c>
      <c r="H121" s="275"/>
      <c r="I121" s="275"/>
      <c r="J121" s="275"/>
      <c r="K121" s="369" t="s">
        <v>677</v>
      </c>
      <c r="L121" s="21">
        <v>12</v>
      </c>
      <c r="M121" s="21" t="s">
        <v>21</v>
      </c>
      <c r="N121" s="275">
        <f>PI()</f>
        <v>3.141592653589793</v>
      </c>
      <c r="O121" s="275"/>
      <c r="P121" s="1" t="s">
        <v>60</v>
      </c>
      <c r="Q121" s="21" t="s">
        <v>21</v>
      </c>
      <c r="R121" s="275">
        <f>T93</f>
        <v>25850000</v>
      </c>
      <c r="S121" s="275"/>
      <c r="T121" s="6"/>
      <c r="U121" s="6"/>
      <c r="V121" s="3"/>
      <c r="W121" s="3"/>
      <c r="X121" s="3"/>
      <c r="Y121" s="3"/>
      <c r="Z121" s="3"/>
      <c r="AA121" s="369" t="s">
        <v>52</v>
      </c>
      <c r="AB121" s="397">
        <f>IF(dpress&gt;=0,"***",L121*N121^2*R121/(L122*(N122*P122/S122)^2))</f>
        <v>138930.2105708685</v>
      </c>
      <c r="AC121" s="397"/>
      <c r="AD121" s="397"/>
      <c r="AE121" s="367" t="str">
        <f>AE105</f>
        <v>psi</v>
      </c>
      <c r="AF121" s="367"/>
    </row>
    <row r="122" spans="1:32" ht="9.75" customHeight="1">
      <c r="A122" s="6"/>
      <c r="B122" s="6"/>
      <c r="C122" s="6"/>
      <c r="D122" s="372"/>
      <c r="E122" s="372"/>
      <c r="F122" s="367"/>
      <c r="G122" s="227" t="s">
        <v>735</v>
      </c>
      <c r="H122" s="227"/>
      <c r="I122" s="227"/>
      <c r="J122" s="227"/>
      <c r="K122" s="369"/>
      <c r="L122" s="22">
        <v>23</v>
      </c>
      <c r="M122" s="22" t="s">
        <v>288</v>
      </c>
      <c r="N122" s="22">
        <v>2</v>
      </c>
      <c r="O122" s="22" t="s">
        <v>21</v>
      </c>
      <c r="P122" s="396">
        <f>J95</f>
        <v>1000</v>
      </c>
      <c r="Q122" s="396"/>
      <c r="R122" s="22" t="s">
        <v>78</v>
      </c>
      <c r="S122" s="384">
        <f>AD91</f>
        <v>64.6132358554984</v>
      </c>
      <c r="T122" s="227"/>
      <c r="U122" s="10" t="s">
        <v>726</v>
      </c>
      <c r="AA122" s="369"/>
      <c r="AB122" s="397"/>
      <c r="AC122" s="397"/>
      <c r="AD122" s="397"/>
      <c r="AE122" s="367"/>
      <c r="AF122" s="367"/>
    </row>
    <row r="123" spans="1:29" ht="9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"/>
      <c r="W123" s="3"/>
      <c r="X123" s="3"/>
      <c r="Y123" s="3"/>
      <c r="Z123" s="3"/>
      <c r="AA123" s="3"/>
      <c r="AB123" s="3"/>
      <c r="AC123" s="3"/>
    </row>
    <row r="124" spans="1:29" ht="9.75" customHeight="1">
      <c r="A124" s="1"/>
      <c r="B124" s="1"/>
      <c r="C124" s="1"/>
      <c r="D124" s="62" t="s">
        <v>745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AC124" s="3"/>
    </row>
    <row r="125" spans="1:29" ht="9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"/>
      <c r="W125" s="3"/>
      <c r="X125" s="3"/>
      <c r="Y125" s="3"/>
      <c r="Z125" s="3"/>
      <c r="AA125" s="3"/>
      <c r="AB125" s="3"/>
      <c r="AC125" s="3"/>
    </row>
    <row r="126" spans="1:29" ht="9.75" customHeight="1">
      <c r="A126" s="1"/>
      <c r="B126" s="1"/>
      <c r="C126" s="1"/>
      <c r="D126" s="18" t="str">
        <f>D88</f>
        <v>Sa</v>
      </c>
      <c r="E126" s="369" t="s">
        <v>61</v>
      </c>
      <c r="F126" s="288" t="str">
        <f>D119</f>
        <v>Sb</v>
      </c>
      <c r="G126" s="288"/>
      <c r="H126" s="288"/>
      <c r="I126" s="288"/>
      <c r="J126" s="288"/>
      <c r="K126" s="401" t="s">
        <v>746</v>
      </c>
      <c r="L126" s="386">
        <v>1</v>
      </c>
      <c r="M126" s="386"/>
      <c r="N126" s="1"/>
      <c r="O126" s="1"/>
      <c r="P126" s="1"/>
      <c r="Q126" s="1"/>
      <c r="R126" s="1"/>
      <c r="S126" s="1"/>
      <c r="T126" s="1"/>
      <c r="U126" s="1"/>
      <c r="AC126" s="3"/>
    </row>
    <row r="127" spans="1:29" ht="9.75" customHeight="1">
      <c r="A127" s="1"/>
      <c r="B127" s="1"/>
      <c r="C127" s="1"/>
      <c r="D127" s="151" t="str">
        <f>D100</f>
        <v>Fa</v>
      </c>
      <c r="E127" s="369"/>
      <c r="F127" s="243" t="str">
        <f>"( 1 - "&amp;D126&amp;" / "&amp;D121&amp;" ) S"</f>
        <v>( 1 - Sa / F'e ) S</v>
      </c>
      <c r="G127" s="243"/>
      <c r="H127" s="243"/>
      <c r="I127" s="243"/>
      <c r="J127" s="243"/>
      <c r="K127" s="369"/>
      <c r="L127" s="386"/>
      <c r="M127" s="386"/>
      <c r="N127" s="1"/>
      <c r="O127" s="1"/>
      <c r="P127" s="1"/>
      <c r="Q127" s="1"/>
      <c r="R127" s="1"/>
      <c r="S127" s="1"/>
      <c r="T127" s="1"/>
      <c r="U127" s="1"/>
      <c r="AC127" s="3"/>
    </row>
    <row r="128" spans="1:29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AC128" s="3"/>
    </row>
    <row r="129" spans="1:34" ht="9.75" customHeight="1">
      <c r="A129" s="6"/>
      <c r="B129" s="6"/>
      <c r="C129" s="6"/>
      <c r="D129" s="273">
        <f>ABS(AD88)</f>
        <v>374.63190184049074</v>
      </c>
      <c r="E129" s="275"/>
      <c r="F129" s="369" t="s">
        <v>61</v>
      </c>
      <c r="G129" s="6"/>
      <c r="H129" s="6"/>
      <c r="I129" s="6"/>
      <c r="J129" s="273">
        <f>ABS(AB119)</f>
        <v>0</v>
      </c>
      <c r="K129" s="275"/>
      <c r="L129" s="6"/>
      <c r="M129" s="6"/>
      <c r="N129" s="6"/>
      <c r="O129" s="6"/>
      <c r="P129" s="6"/>
      <c r="Q129" s="6"/>
      <c r="R129" s="6"/>
      <c r="S129" s="369" t="s">
        <v>52</v>
      </c>
      <c r="T129" s="400">
        <f>D129/D130</f>
        <v>0.018038842214201746</v>
      </c>
      <c r="U129" s="400"/>
      <c r="V129" s="369" t="s">
        <v>61</v>
      </c>
      <c r="W129" s="400">
        <f>J129/((H130-J130/M130)*Q130)</f>
        <v>0</v>
      </c>
      <c r="X129" s="400"/>
      <c r="Y129" s="369" t="s">
        <v>52</v>
      </c>
      <c r="Z129" s="400">
        <f>IF(dpress&gt;=0,"***",T129+W129)</f>
        <v>0.018038842214201746</v>
      </c>
      <c r="AA129" s="400"/>
      <c r="AB129" s="403" t="str">
        <f>IF(Z129&lt;AC129,"&lt;",IF(Z129=AC129,"=","&gt;"))</f>
        <v>&lt;</v>
      </c>
      <c r="AC129" s="386">
        <f>L126</f>
        <v>1</v>
      </c>
      <c r="AD129" s="386"/>
      <c r="AE129" s="402" t="str">
        <f>IF(dpress&gt;=0,"***",IF(Z129&lt;=AC129,"OK !","Not Acceptable !"))</f>
        <v>OK !</v>
      </c>
      <c r="AF129" s="402"/>
      <c r="AG129" s="402"/>
      <c r="AH129" s="402"/>
    </row>
    <row r="130" spans="1:34" ht="9.75" customHeight="1">
      <c r="A130" s="1"/>
      <c r="B130" s="1"/>
      <c r="C130" s="1"/>
      <c r="D130" s="227">
        <f>IF(P95&lt;=U95,AB105,AB111)</f>
        <v>20768.06800524858</v>
      </c>
      <c r="E130" s="227"/>
      <c r="F130" s="369"/>
      <c r="G130" s="22" t="s">
        <v>88</v>
      </c>
      <c r="H130" s="22">
        <v>1</v>
      </c>
      <c r="I130" s="22" t="s">
        <v>83</v>
      </c>
      <c r="J130" s="371">
        <f>D129</f>
        <v>374.63190184049074</v>
      </c>
      <c r="K130" s="227"/>
      <c r="L130" s="22" t="s">
        <v>78</v>
      </c>
      <c r="M130" s="371">
        <f>AB121</f>
        <v>138930.2105708685</v>
      </c>
      <c r="N130" s="227"/>
      <c r="O130" s="227"/>
      <c r="P130" s="22" t="s">
        <v>747</v>
      </c>
      <c r="Q130" s="371">
        <f>AD24</f>
        <v>18800</v>
      </c>
      <c r="R130" s="227"/>
      <c r="S130" s="369"/>
      <c r="T130" s="400"/>
      <c r="U130" s="400"/>
      <c r="V130" s="369"/>
      <c r="W130" s="400"/>
      <c r="X130" s="400"/>
      <c r="Y130" s="369"/>
      <c r="Z130" s="400"/>
      <c r="AA130" s="400"/>
      <c r="AB130" s="403"/>
      <c r="AC130" s="386"/>
      <c r="AD130" s="386"/>
      <c r="AE130" s="402"/>
      <c r="AF130" s="402"/>
      <c r="AG130" s="402"/>
      <c r="AH130" s="402"/>
    </row>
    <row r="131" spans="1:28" ht="9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"/>
      <c r="W131" s="3"/>
      <c r="X131" s="3"/>
      <c r="Y131" s="3"/>
      <c r="Z131" s="3"/>
      <c r="AA131" s="3"/>
      <c r="AB131" s="3"/>
    </row>
    <row r="132" spans="1:28" ht="9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"/>
      <c r="W132" s="3"/>
      <c r="X132" s="3"/>
      <c r="Y132" s="3"/>
      <c r="Z132" s="3"/>
      <c r="AA132" s="3"/>
      <c r="AB132" s="3"/>
    </row>
    <row r="133" spans="1:29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AC133" s="3"/>
    </row>
    <row r="134" spans="1:29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AC134" s="3"/>
    </row>
    <row r="135" spans="1:29" ht="9.75" customHeight="1">
      <c r="A135" s="6"/>
      <c r="B135" s="6"/>
      <c r="C135" s="6"/>
      <c r="D135" s="6"/>
      <c r="E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"/>
      <c r="W135" s="3"/>
      <c r="X135" s="3"/>
      <c r="Y135" s="3"/>
      <c r="Z135" s="3"/>
      <c r="AA135" s="3"/>
      <c r="AB135" s="3"/>
      <c r="AC135" s="3"/>
    </row>
    <row r="136" spans="1:28" ht="9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"/>
      <c r="W136" s="3"/>
      <c r="X136" s="3"/>
      <c r="Y136" s="3"/>
      <c r="Z136" s="3"/>
      <c r="AA136" s="3"/>
      <c r="AB136" s="3"/>
    </row>
    <row r="137" spans="1:28" ht="9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3"/>
      <c r="W137" s="3"/>
      <c r="X137" s="3"/>
      <c r="Y137" s="3"/>
      <c r="Z137" s="3"/>
      <c r="AA137" s="3"/>
      <c r="AB137" s="3"/>
    </row>
    <row r="138" spans="1:29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AC138" s="3"/>
    </row>
    <row r="139" spans="1:29" ht="9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3"/>
      <c r="W139" s="3"/>
      <c r="X139" s="3"/>
      <c r="Y139" s="3"/>
      <c r="Z139" s="3"/>
      <c r="AA139" s="3"/>
      <c r="AB139" s="3"/>
      <c r="AC139" s="3"/>
    </row>
    <row r="140" spans="1:29" ht="9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3"/>
      <c r="W140" s="3"/>
      <c r="X140" s="3"/>
      <c r="Y140" s="3"/>
      <c r="Z140" s="3"/>
      <c r="AA140" s="3"/>
      <c r="AB140" s="3"/>
      <c r="AC140" s="3"/>
    </row>
    <row r="141" spans="1:29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AC141" s="3"/>
    </row>
    <row r="142" spans="1:29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AC142" s="3"/>
    </row>
    <row r="143" spans="1:29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AC143" s="3"/>
    </row>
    <row r="144" spans="1:29" ht="9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"/>
      <c r="W144" s="3"/>
      <c r="X144" s="3"/>
      <c r="Y144" s="3"/>
      <c r="Z144" s="3"/>
      <c r="AA144" s="3"/>
      <c r="AB144" s="3"/>
      <c r="AC144" s="3"/>
    </row>
    <row r="145" spans="1:29" ht="9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"/>
      <c r="W145" s="3"/>
      <c r="X145" s="3"/>
      <c r="Y145" s="3"/>
      <c r="Z145" s="3"/>
      <c r="AA145" s="3"/>
      <c r="AB145" s="3"/>
      <c r="AC145" s="3"/>
    </row>
    <row r="146" spans="1:29" ht="9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"/>
      <c r="W146" s="3"/>
      <c r="X146" s="3"/>
      <c r="Y146" s="3"/>
      <c r="Z146" s="3"/>
      <c r="AA146" s="3"/>
      <c r="AB146" s="3"/>
      <c r="AC146" s="3"/>
    </row>
    <row r="147" spans="1:29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AC147" s="3"/>
    </row>
    <row r="148" spans="1:28" ht="9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"/>
      <c r="W148" s="3"/>
      <c r="X148" s="3"/>
      <c r="Y148" s="3"/>
      <c r="Z148" s="3"/>
      <c r="AA148" s="3"/>
      <c r="AB148" s="3"/>
    </row>
    <row r="149" spans="1:28" ht="9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34" ht="9.75" customHeight="1">
      <c r="A150" s="10" t="str">
        <f>cosymbol</f>
        <v> NTES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1" t="str">
        <f>coname</f>
        <v>Narai Thermal Engineering Services </v>
      </c>
    </row>
    <row r="189" ht="13.5" customHeight="1"/>
    <row r="190" ht="13.5" customHeight="1"/>
  </sheetData>
  <mergeCells count="415">
    <mergeCell ref="AC8:AG8"/>
    <mergeCell ref="AD23:AE23"/>
    <mergeCell ref="AD24:AE24"/>
    <mergeCell ref="AD14:AE14"/>
    <mergeCell ref="AD19:AE19"/>
    <mergeCell ref="AD20:AE20"/>
    <mergeCell ref="AD21:AE21"/>
    <mergeCell ref="AD22:AE22"/>
    <mergeCell ref="AD15:AE15"/>
    <mergeCell ref="AD16:AE16"/>
    <mergeCell ref="AD17:AE17"/>
    <mergeCell ref="AD18:AE18"/>
    <mergeCell ref="AD38:AE39"/>
    <mergeCell ref="AF38:AJ39"/>
    <mergeCell ref="AG34:AH35"/>
    <mergeCell ref="D39:E39"/>
    <mergeCell ref="G39:H39"/>
    <mergeCell ref="M39:O39"/>
    <mergeCell ref="Q39:S39"/>
    <mergeCell ref="J38:K39"/>
    <mergeCell ref="L38:L39"/>
    <mergeCell ref="N38:O38"/>
    <mergeCell ref="P38:P39"/>
    <mergeCell ref="D38:E38"/>
    <mergeCell ref="F38:F39"/>
    <mergeCell ref="X38:Y39"/>
    <mergeCell ref="Z38:Z39"/>
    <mergeCell ref="AA38:AB39"/>
    <mergeCell ref="AC38:AC39"/>
    <mergeCell ref="R38:S38"/>
    <mergeCell ref="T38:T39"/>
    <mergeCell ref="U38:V39"/>
    <mergeCell ref="W38:W39"/>
    <mergeCell ref="G38:H38"/>
    <mergeCell ref="I38:I39"/>
    <mergeCell ref="AF52:AJ53"/>
    <mergeCell ref="D53:E53"/>
    <mergeCell ref="G53:H53"/>
    <mergeCell ref="M53:O53"/>
    <mergeCell ref="Q53:S53"/>
    <mergeCell ref="Z52:Z53"/>
    <mergeCell ref="AA52:AB53"/>
    <mergeCell ref="AC52:AC53"/>
    <mergeCell ref="AD52:AE53"/>
    <mergeCell ref="T52:T53"/>
    <mergeCell ref="U52:V53"/>
    <mergeCell ref="W52:W53"/>
    <mergeCell ref="X52:Y53"/>
    <mergeCell ref="Q68:S68"/>
    <mergeCell ref="R52:S52"/>
    <mergeCell ref="V63:V64"/>
    <mergeCell ref="W63:X63"/>
    <mergeCell ref="T65:V65"/>
    <mergeCell ref="T62:V62"/>
    <mergeCell ref="V60:V61"/>
    <mergeCell ref="W60:X60"/>
    <mergeCell ref="D52:E52"/>
    <mergeCell ref="F52:F53"/>
    <mergeCell ref="G52:H52"/>
    <mergeCell ref="I52:I53"/>
    <mergeCell ref="J52:K53"/>
    <mergeCell ref="L52:L53"/>
    <mergeCell ref="N52:O52"/>
    <mergeCell ref="P52:P53"/>
    <mergeCell ref="F72:G73"/>
    <mergeCell ref="H72:H73"/>
    <mergeCell ref="L67:L68"/>
    <mergeCell ref="M68:O68"/>
    <mergeCell ref="M65:N65"/>
    <mergeCell ref="P65:Q65"/>
    <mergeCell ref="M62:N62"/>
    <mergeCell ref="P62:Q62"/>
    <mergeCell ref="L60:L61"/>
    <mergeCell ref="D67:E67"/>
    <mergeCell ref="D68:E68"/>
    <mergeCell ref="G67:H67"/>
    <mergeCell ref="G68:H68"/>
    <mergeCell ref="AC67:AC68"/>
    <mergeCell ref="AD67:AE68"/>
    <mergeCell ref="AF67:AJ68"/>
    <mergeCell ref="W67:W68"/>
    <mergeCell ref="X67:Y68"/>
    <mergeCell ref="Z67:Z68"/>
    <mergeCell ref="AA67:AB68"/>
    <mergeCell ref="AE129:AH130"/>
    <mergeCell ref="F67:F68"/>
    <mergeCell ref="I67:I68"/>
    <mergeCell ref="J67:K68"/>
    <mergeCell ref="P67:P68"/>
    <mergeCell ref="T67:T68"/>
    <mergeCell ref="AC129:AD130"/>
    <mergeCell ref="AB129:AB130"/>
    <mergeCell ref="Y129:Y130"/>
    <mergeCell ref="Z129:AA130"/>
    <mergeCell ref="S129:S130"/>
    <mergeCell ref="T129:U130"/>
    <mergeCell ref="V129:V130"/>
    <mergeCell ref="W129:X130"/>
    <mergeCell ref="J130:K130"/>
    <mergeCell ref="M130:O130"/>
    <mergeCell ref="Q130:R130"/>
    <mergeCell ref="J129:K129"/>
    <mergeCell ref="D129:E129"/>
    <mergeCell ref="D130:E130"/>
    <mergeCell ref="F129:F130"/>
    <mergeCell ref="U67:V68"/>
    <mergeCell ref="N67:O67"/>
    <mergeCell ref="R67:S67"/>
    <mergeCell ref="F70:G71"/>
    <mergeCell ref="H70:H71"/>
    <mergeCell ref="E126:E127"/>
    <mergeCell ref="K126:K127"/>
    <mergeCell ref="L126:M127"/>
    <mergeCell ref="F127:J127"/>
    <mergeCell ref="F126:J126"/>
    <mergeCell ref="AE121:AF122"/>
    <mergeCell ref="G122:J122"/>
    <mergeCell ref="P122:Q122"/>
    <mergeCell ref="S122:T122"/>
    <mergeCell ref="N121:O121"/>
    <mergeCell ref="R121:S121"/>
    <mergeCell ref="AA121:AA122"/>
    <mergeCell ref="AB121:AD122"/>
    <mergeCell ref="D121:E122"/>
    <mergeCell ref="F121:F122"/>
    <mergeCell ref="G121:J121"/>
    <mergeCell ref="K121:K122"/>
    <mergeCell ref="K119:L119"/>
    <mergeCell ref="N119:O119"/>
    <mergeCell ref="AB115:AD115"/>
    <mergeCell ref="AB119:AD119"/>
    <mergeCell ref="AB117:AD117"/>
    <mergeCell ref="Q119:S119"/>
    <mergeCell ref="K115:L115"/>
    <mergeCell ref="N115:O115"/>
    <mergeCell ref="Q115:R115"/>
    <mergeCell ref="T115:U115"/>
    <mergeCell ref="AE105:AF106"/>
    <mergeCell ref="G112:J112"/>
    <mergeCell ref="G111:J111"/>
    <mergeCell ref="AA111:AA112"/>
    <mergeCell ref="AB111:AD112"/>
    <mergeCell ref="AE111:AF112"/>
    <mergeCell ref="K111:K112"/>
    <mergeCell ref="N111:O111"/>
    <mergeCell ref="R111:S111"/>
    <mergeCell ref="P112:Q112"/>
    <mergeCell ref="S112:T112"/>
    <mergeCell ref="W106:X106"/>
    <mergeCell ref="N107:O107"/>
    <mergeCell ref="W107:X107"/>
    <mergeCell ref="Q106:Q107"/>
    <mergeCell ref="T106:U106"/>
    <mergeCell ref="AA105:AA106"/>
    <mergeCell ref="AB105:AD106"/>
    <mergeCell ref="R104:R105"/>
    <mergeCell ref="T104:U105"/>
    <mergeCell ref="S104:S105"/>
    <mergeCell ref="M99:M100"/>
    <mergeCell ref="N99:N100"/>
    <mergeCell ref="L104:M104"/>
    <mergeCell ref="O104:P104"/>
    <mergeCell ref="I104:I105"/>
    <mergeCell ref="H106:H107"/>
    <mergeCell ref="M102:O102"/>
    <mergeCell ref="M101:O101"/>
    <mergeCell ref="L101:L102"/>
    <mergeCell ref="I102:K102"/>
    <mergeCell ref="O105:P105"/>
    <mergeCell ref="K106:L106"/>
    <mergeCell ref="N106:O106"/>
    <mergeCell ref="F105:F106"/>
    <mergeCell ref="G104:G105"/>
    <mergeCell ref="H104:H105"/>
    <mergeCell ref="H101:H102"/>
    <mergeCell ref="D100:E101"/>
    <mergeCell ref="F100:F101"/>
    <mergeCell ref="G99:G100"/>
    <mergeCell ref="I101:K101"/>
    <mergeCell ref="H99:H100"/>
    <mergeCell ref="I99:I100"/>
    <mergeCell ref="J99:L99"/>
    <mergeCell ref="J100:L100"/>
    <mergeCell ref="D111:E112"/>
    <mergeCell ref="F111:F112"/>
    <mergeCell ref="AO92:AP92"/>
    <mergeCell ref="P93:Q93"/>
    <mergeCell ref="T93:U93"/>
    <mergeCell ref="W93:X93"/>
    <mergeCell ref="AD93:AF93"/>
    <mergeCell ref="P95:Q95"/>
    <mergeCell ref="U95:V95"/>
    <mergeCell ref="J95:K95"/>
    <mergeCell ref="M95:N95"/>
    <mergeCell ref="AG88:AH89"/>
    <mergeCell ref="M89:N89"/>
    <mergeCell ref="P89:Q89"/>
    <mergeCell ref="S89:T89"/>
    <mergeCell ref="V89:W89"/>
    <mergeCell ref="AD91:AF91"/>
    <mergeCell ref="AC83:AG83"/>
    <mergeCell ref="D88:E89"/>
    <mergeCell ref="F88:F89"/>
    <mergeCell ref="G88:J88"/>
    <mergeCell ref="K88:K89"/>
    <mergeCell ref="N88:O88"/>
    <mergeCell ref="Q88:R88"/>
    <mergeCell ref="T88:U88"/>
    <mergeCell ref="AC88:AC89"/>
    <mergeCell ref="AD88:AF89"/>
    <mergeCell ref="A76:AH78"/>
    <mergeCell ref="AC81:AG81"/>
    <mergeCell ref="AC82:AD82"/>
    <mergeCell ref="AF82:AG82"/>
    <mergeCell ref="AD65:AF65"/>
    <mergeCell ref="AA63:AB64"/>
    <mergeCell ref="AC63:AC64"/>
    <mergeCell ref="AD63:AF64"/>
    <mergeCell ref="AG63:AH64"/>
    <mergeCell ref="Z63:Z64"/>
    <mergeCell ref="W64:X64"/>
    <mergeCell ref="L63:L64"/>
    <mergeCell ref="M63:M64"/>
    <mergeCell ref="N63:N64"/>
    <mergeCell ref="O63:P63"/>
    <mergeCell ref="S63:T63"/>
    <mergeCell ref="S64:T64"/>
    <mergeCell ref="Y63:Y64"/>
    <mergeCell ref="D63:E64"/>
    <mergeCell ref="F63:F64"/>
    <mergeCell ref="G63:I63"/>
    <mergeCell ref="J63:J64"/>
    <mergeCell ref="G64:I64"/>
    <mergeCell ref="AD62:AF62"/>
    <mergeCell ref="AA60:AB61"/>
    <mergeCell ref="AC60:AC61"/>
    <mergeCell ref="AD60:AF61"/>
    <mergeCell ref="AG60:AH61"/>
    <mergeCell ref="Y60:Y61"/>
    <mergeCell ref="Z60:Z61"/>
    <mergeCell ref="W61:X61"/>
    <mergeCell ref="M60:M61"/>
    <mergeCell ref="N60:N61"/>
    <mergeCell ref="O60:P60"/>
    <mergeCell ref="S60:T60"/>
    <mergeCell ref="S61:T61"/>
    <mergeCell ref="D60:E61"/>
    <mergeCell ref="F60:F61"/>
    <mergeCell ref="G60:I60"/>
    <mergeCell ref="J60:J61"/>
    <mergeCell ref="G61:I61"/>
    <mergeCell ref="AD58:AF59"/>
    <mergeCell ref="AG58:AH59"/>
    <mergeCell ref="M59:N59"/>
    <mergeCell ref="P59:Q59"/>
    <mergeCell ref="S59:T59"/>
    <mergeCell ref="V59:W59"/>
    <mergeCell ref="N58:O58"/>
    <mergeCell ref="Q58:R58"/>
    <mergeCell ref="T58:U58"/>
    <mergeCell ref="AC58:AC59"/>
    <mergeCell ref="D58:E59"/>
    <mergeCell ref="F58:F59"/>
    <mergeCell ref="G58:J58"/>
    <mergeCell ref="K58:K59"/>
    <mergeCell ref="AD56:AF57"/>
    <mergeCell ref="AG56:AH57"/>
    <mergeCell ref="M57:N57"/>
    <mergeCell ref="P57:Q57"/>
    <mergeCell ref="S57:T57"/>
    <mergeCell ref="V57:W57"/>
    <mergeCell ref="N56:O56"/>
    <mergeCell ref="Q56:R56"/>
    <mergeCell ref="T56:U56"/>
    <mergeCell ref="AC56:AC57"/>
    <mergeCell ref="D56:E57"/>
    <mergeCell ref="F56:F57"/>
    <mergeCell ref="G56:J56"/>
    <mergeCell ref="K56:K57"/>
    <mergeCell ref="AD48:AF49"/>
    <mergeCell ref="AG48:AH49"/>
    <mergeCell ref="M50:N50"/>
    <mergeCell ref="P50:Q50"/>
    <mergeCell ref="T50:V50"/>
    <mergeCell ref="AD50:AF50"/>
    <mergeCell ref="Z48:Z49"/>
    <mergeCell ref="W49:X49"/>
    <mergeCell ref="AA48:AB49"/>
    <mergeCell ref="AC48:AC49"/>
    <mergeCell ref="N48:N49"/>
    <mergeCell ref="V48:V49"/>
    <mergeCell ref="W48:X48"/>
    <mergeCell ref="Y48:Y49"/>
    <mergeCell ref="O48:P48"/>
    <mergeCell ref="S48:T48"/>
    <mergeCell ref="S49:T49"/>
    <mergeCell ref="D48:E49"/>
    <mergeCell ref="F48:F49"/>
    <mergeCell ref="G48:I48"/>
    <mergeCell ref="J48:J49"/>
    <mergeCell ref="L48:L49"/>
    <mergeCell ref="M48:M49"/>
    <mergeCell ref="G49:I49"/>
    <mergeCell ref="AD45:AF46"/>
    <mergeCell ref="V45:V46"/>
    <mergeCell ref="W45:X45"/>
    <mergeCell ref="Y45:Y46"/>
    <mergeCell ref="O45:P45"/>
    <mergeCell ref="S45:T45"/>
    <mergeCell ref="S46:T46"/>
    <mergeCell ref="AG45:AH46"/>
    <mergeCell ref="M47:N47"/>
    <mergeCell ref="P47:Q47"/>
    <mergeCell ref="T47:V47"/>
    <mergeCell ref="AD47:AF47"/>
    <mergeCell ref="Z45:Z46"/>
    <mergeCell ref="W46:X46"/>
    <mergeCell ref="AA45:AB46"/>
    <mergeCell ref="AC45:AC46"/>
    <mergeCell ref="N45:N46"/>
    <mergeCell ref="D45:E46"/>
    <mergeCell ref="F45:F46"/>
    <mergeCell ref="G45:I45"/>
    <mergeCell ref="J45:J46"/>
    <mergeCell ref="L45:L46"/>
    <mergeCell ref="M45:M46"/>
    <mergeCell ref="G46:I46"/>
    <mergeCell ref="L44:M44"/>
    <mergeCell ref="O44:P44"/>
    <mergeCell ref="T44:U44"/>
    <mergeCell ref="AD44:AF44"/>
    <mergeCell ref="AD42:AF43"/>
    <mergeCell ref="AG42:AH43"/>
    <mergeCell ref="M43:N43"/>
    <mergeCell ref="P43:Q43"/>
    <mergeCell ref="S43:T43"/>
    <mergeCell ref="V43:W43"/>
    <mergeCell ref="N42:O42"/>
    <mergeCell ref="Q42:R42"/>
    <mergeCell ref="T42:U42"/>
    <mergeCell ref="AC42:AC43"/>
    <mergeCell ref="D42:E43"/>
    <mergeCell ref="F42:F43"/>
    <mergeCell ref="G42:J42"/>
    <mergeCell ref="K42:K43"/>
    <mergeCell ref="M36:N36"/>
    <mergeCell ref="P36:Q36"/>
    <mergeCell ref="T36:V36"/>
    <mergeCell ref="AD36:AF36"/>
    <mergeCell ref="Z34:Z35"/>
    <mergeCell ref="AA34:AB35"/>
    <mergeCell ref="S34:T34"/>
    <mergeCell ref="V34:V35"/>
    <mergeCell ref="S35:T35"/>
    <mergeCell ref="W35:X35"/>
    <mergeCell ref="W34:X34"/>
    <mergeCell ref="Y34:Y35"/>
    <mergeCell ref="AC34:AC35"/>
    <mergeCell ref="AD34:AF35"/>
    <mergeCell ref="AG31:AH32"/>
    <mergeCell ref="AD33:AF33"/>
    <mergeCell ref="M33:N33"/>
    <mergeCell ref="P33:Q33"/>
    <mergeCell ref="T33:V33"/>
    <mergeCell ref="Z31:Z32"/>
    <mergeCell ref="N31:N32"/>
    <mergeCell ref="O31:P31"/>
    <mergeCell ref="S31:T31"/>
    <mergeCell ref="S32:T32"/>
    <mergeCell ref="W31:X31"/>
    <mergeCell ref="V31:V32"/>
    <mergeCell ref="AA31:AB32"/>
    <mergeCell ref="AC31:AC32"/>
    <mergeCell ref="AD31:AF32"/>
    <mergeCell ref="Y31:Y32"/>
    <mergeCell ref="W32:X32"/>
    <mergeCell ref="D34:E35"/>
    <mergeCell ref="F34:F35"/>
    <mergeCell ref="G34:I34"/>
    <mergeCell ref="J34:J35"/>
    <mergeCell ref="G35:I35"/>
    <mergeCell ref="L34:L35"/>
    <mergeCell ref="M34:M35"/>
    <mergeCell ref="N34:N35"/>
    <mergeCell ref="O34:P34"/>
    <mergeCell ref="S29:T29"/>
    <mergeCell ref="T30:U30"/>
    <mergeCell ref="AD30:AF30"/>
    <mergeCell ref="D31:E32"/>
    <mergeCell ref="F31:F32"/>
    <mergeCell ref="J31:J32"/>
    <mergeCell ref="L31:L32"/>
    <mergeCell ref="M31:M32"/>
    <mergeCell ref="G31:I31"/>
    <mergeCell ref="G32:I32"/>
    <mergeCell ref="K28:K29"/>
    <mergeCell ref="N28:O28"/>
    <mergeCell ref="M29:N29"/>
    <mergeCell ref="L30:M30"/>
    <mergeCell ref="O30:P30"/>
    <mergeCell ref="P29:Q29"/>
    <mergeCell ref="A1:AH3"/>
    <mergeCell ref="AC5:AG5"/>
    <mergeCell ref="AC6:AD6"/>
    <mergeCell ref="AF6:AG6"/>
    <mergeCell ref="AC7:AG7"/>
    <mergeCell ref="D28:E29"/>
    <mergeCell ref="AC28:AC29"/>
    <mergeCell ref="AG28:AH29"/>
    <mergeCell ref="AD28:AF29"/>
    <mergeCell ref="V29:W29"/>
    <mergeCell ref="G28:J28"/>
    <mergeCell ref="F28:F29"/>
    <mergeCell ref="Q28:R28"/>
    <mergeCell ref="T28:U28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rowBreaks count="1" manualBreakCount="1">
    <brk id="75" max="3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W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159</v>
      </c>
      <c r="C6" s="6"/>
      <c r="D6" s="6"/>
      <c r="E6" s="7" t="str">
        <f>project</f>
        <v>Programming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160</v>
      </c>
      <c r="AA6" s="3"/>
      <c r="AB6" s="3"/>
      <c r="AC6" s="377" t="str">
        <f>docno</f>
        <v>SC - RPV - 100</v>
      </c>
      <c r="AD6" s="377"/>
      <c r="AE6" s="377"/>
      <c r="AF6" s="377"/>
      <c r="AG6" s="377"/>
      <c r="AH6" s="4"/>
    </row>
    <row r="7" spans="1:34" ht="9.75" customHeight="1">
      <c r="A7" s="6"/>
      <c r="B7" s="6" t="s">
        <v>161</v>
      </c>
      <c r="C7" s="6"/>
      <c r="D7" s="6"/>
      <c r="E7" s="7" t="str">
        <f>itemno</f>
        <v>13-17 Example, P430~1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162</v>
      </c>
      <c r="AA7" s="3"/>
      <c r="AB7" s="3"/>
      <c r="AC7" s="311">
        <v>3</v>
      </c>
      <c r="AD7" s="311"/>
      <c r="AE7" s="8" t="s">
        <v>163</v>
      </c>
      <c r="AF7" s="304" t="str">
        <f>sheetqty</f>
        <v>x</v>
      </c>
      <c r="AG7" s="304"/>
      <c r="AH7" s="4"/>
    </row>
    <row r="8" spans="1:34" ht="9.75" customHeight="1">
      <c r="A8" s="6"/>
      <c r="B8" s="6" t="s">
        <v>164</v>
      </c>
      <c r="C8" s="6"/>
      <c r="D8" s="6"/>
      <c r="E8" s="7" t="str">
        <f>service</f>
        <v>Rectangular Vessel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165</v>
      </c>
      <c r="AA8" s="3"/>
      <c r="AB8" s="3"/>
      <c r="AC8" s="377" t="str">
        <f>date</f>
        <v>2018.  2.  10.</v>
      </c>
      <c r="AD8" s="377"/>
      <c r="AE8" s="377"/>
      <c r="AF8" s="377"/>
      <c r="AG8" s="377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166</v>
      </c>
      <c r="AA9" s="3"/>
      <c r="AB9" s="3"/>
      <c r="AC9" s="377">
        <f>revno</f>
        <v>0</v>
      </c>
      <c r="AD9" s="377"/>
      <c r="AE9" s="377"/>
      <c r="AF9" s="377"/>
      <c r="AG9" s="377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214</v>
      </c>
      <c r="D11" s="9" t="s">
        <v>167</v>
      </c>
      <c r="E11" s="1"/>
      <c r="F11" s="1"/>
      <c r="G11" s="1"/>
      <c r="H11" s="1"/>
      <c r="I11" s="1"/>
      <c r="J11" s="1"/>
      <c r="K11" s="21" t="s">
        <v>180</v>
      </c>
      <c r="L11" s="28" t="s">
        <v>36</v>
      </c>
      <c r="M11" s="35" t="s">
        <v>216</v>
      </c>
      <c r="N11" s="28" t="s">
        <v>37</v>
      </c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9" ht="9.75" customHeight="1">
      <c r="A13" s="6"/>
      <c r="B13" s="6"/>
      <c r="C13" s="6"/>
      <c r="D13" s="7" t="s">
        <v>168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  <c r="AA13" s="3"/>
      <c r="AB13" s="3"/>
      <c r="AC13" s="3"/>
    </row>
    <row r="14" spans="1:29" ht="9.75" customHeight="1">
      <c r="A14" s="1"/>
      <c r="B14" s="1"/>
      <c r="C14" s="1"/>
      <c r="D14" s="1"/>
      <c r="E14" s="27" t="s">
        <v>169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AC14" s="3"/>
    </row>
    <row r="15" spans="1:34" ht="9.75" customHeight="1">
      <c r="A15" s="1"/>
      <c r="B15" s="1"/>
      <c r="C15" s="1"/>
      <c r="D15" s="1"/>
      <c r="E15" s="1"/>
      <c r="F15" s="27" t="s">
        <v>181</v>
      </c>
      <c r="G15" s="1"/>
      <c r="H15" s="1" t="s">
        <v>171</v>
      </c>
      <c r="I15" s="1" t="s">
        <v>543</v>
      </c>
      <c r="J15" s="1"/>
      <c r="K15" s="1"/>
      <c r="L15" s="21" t="s">
        <v>171</v>
      </c>
      <c r="M15" s="275">
        <f>dpress</f>
        <v>-115</v>
      </c>
      <c r="N15" s="275"/>
      <c r="O15" s="21" t="s">
        <v>172</v>
      </c>
      <c r="P15" s="275">
        <f>lh</f>
        <v>342.9</v>
      </c>
      <c r="Q15" s="275"/>
      <c r="R15" s="121" t="s">
        <v>545</v>
      </c>
      <c r="S15" s="275">
        <f>st1</f>
        <v>15.875</v>
      </c>
      <c r="T15" s="275"/>
      <c r="U15" s="8" t="s">
        <v>46</v>
      </c>
      <c r="V15" s="304">
        <f>jen</f>
        <v>0.8</v>
      </c>
      <c r="W15" s="304"/>
      <c r="X15" s="8" t="s">
        <v>171</v>
      </c>
      <c r="Y15" s="366">
        <f>M15*P15/2/S15/V15</f>
        <v>-1552.5</v>
      </c>
      <c r="Z15" s="366"/>
      <c r="AA15" s="366"/>
      <c r="AB15" s="2" t="str">
        <f>upsx(dpu)</f>
        <v>psi</v>
      </c>
      <c r="AC15" s="26" t="str">
        <f>IF(Y15&lt;=AD15,"&lt;","&gt;")</f>
        <v>&lt;</v>
      </c>
      <c r="AD15" s="365">
        <f>mas</f>
        <v>18800</v>
      </c>
      <c r="AE15" s="365"/>
      <c r="AF15" s="365"/>
      <c r="AG15" s="364" t="str">
        <f>IF(ABS(Y15)&lt;=ABS(AD15),"OK !","NO !")</f>
        <v>OK !</v>
      </c>
      <c r="AH15" s="364"/>
    </row>
    <row r="16" spans="1:29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AC16" s="3"/>
    </row>
    <row r="17" spans="1:22" ht="9.75" customHeight="1">
      <c r="A17" s="1"/>
      <c r="B17" s="1"/>
      <c r="C17" s="1"/>
      <c r="D17" s="1"/>
      <c r="E17" s="27" t="s">
        <v>173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9" ht="9.75" customHeight="1">
      <c r="A18" s="6"/>
      <c r="B18" s="6"/>
      <c r="C18" s="6"/>
      <c r="D18" s="6"/>
      <c r="E18" s="6"/>
      <c r="F18" s="7" t="s">
        <v>585</v>
      </c>
      <c r="G18" s="6"/>
      <c r="H18" s="6"/>
      <c r="I18" s="6"/>
      <c r="J18" s="7" t="s">
        <v>587</v>
      </c>
      <c r="K18" s="6" t="s">
        <v>52</v>
      </c>
      <c r="L18" s="6" t="s">
        <v>588</v>
      </c>
      <c r="M18" s="6"/>
      <c r="N18" s="6"/>
      <c r="O18" s="21" t="s">
        <v>52</v>
      </c>
      <c r="P18" s="275">
        <f>lt22</f>
        <v>50.8</v>
      </c>
      <c r="Q18" s="275"/>
      <c r="R18" s="3" t="s">
        <v>589</v>
      </c>
      <c r="S18" s="21" t="s">
        <v>78</v>
      </c>
      <c r="T18" s="21">
        <v>12</v>
      </c>
      <c r="U18" s="21" t="s">
        <v>52</v>
      </c>
      <c r="V18" s="365">
        <f>P18^3/T18</f>
        <v>10924.709333333332</v>
      </c>
      <c r="W18" s="365"/>
      <c r="X18" s="365"/>
      <c r="Y18" s="3" t="s">
        <v>72</v>
      </c>
      <c r="Z18" s="3"/>
      <c r="AA18" s="3"/>
      <c r="AB18" s="3"/>
      <c r="AC18" s="3"/>
    </row>
    <row r="19" spans="1:33" ht="9.75" customHeight="1">
      <c r="A19" s="1"/>
      <c r="B19" s="1"/>
      <c r="C19" s="1"/>
      <c r="D19" s="1"/>
      <c r="E19" s="1"/>
      <c r="F19" s="1"/>
      <c r="G19" s="42" t="s">
        <v>586</v>
      </c>
      <c r="H19" s="2" t="s">
        <v>52</v>
      </c>
      <c r="I19" s="2" t="s">
        <v>591</v>
      </c>
      <c r="K19" s="1"/>
      <c r="L19" s="21" t="s">
        <v>52</v>
      </c>
      <c r="M19" s="405">
        <f>V18/li2</f>
        <v>8</v>
      </c>
      <c r="N19" s="405"/>
      <c r="O19" s="1"/>
      <c r="P19" s="9" t="s">
        <v>593</v>
      </c>
      <c r="Q19" s="1" t="s">
        <v>52</v>
      </c>
      <c r="R19" s="2" t="s">
        <v>595</v>
      </c>
      <c r="U19" s="8" t="s">
        <v>52</v>
      </c>
      <c r="V19" s="404">
        <f>2*M20+3</f>
        <v>32.127111111111105</v>
      </c>
      <c r="W19" s="404"/>
      <c r="X19" s="1"/>
      <c r="Y19" s="87" t="s">
        <v>579</v>
      </c>
      <c r="Z19" s="2" t="s">
        <v>52</v>
      </c>
      <c r="AA19" s="2" t="s">
        <v>597</v>
      </c>
      <c r="AE19" s="2" t="s">
        <v>52</v>
      </c>
      <c r="AF19" s="365">
        <f>V19*V20-M20^2</f>
        <v>1494.7234512592588</v>
      </c>
      <c r="AG19" s="365"/>
    </row>
    <row r="20" spans="1:32" ht="9.75" customHeight="1">
      <c r="A20" s="6"/>
      <c r="B20" s="6"/>
      <c r="C20" s="6"/>
      <c r="D20" s="6"/>
      <c r="E20" s="6"/>
      <c r="F20" s="6"/>
      <c r="G20" s="7" t="s">
        <v>590</v>
      </c>
      <c r="H20" s="6" t="s">
        <v>52</v>
      </c>
      <c r="I20" s="6" t="s">
        <v>592</v>
      </c>
      <c r="J20" s="6"/>
      <c r="K20" s="6"/>
      <c r="L20" s="21" t="s">
        <v>52</v>
      </c>
      <c r="M20" s="405">
        <f>V18*alpha/si1</f>
        <v>14.563555555555554</v>
      </c>
      <c r="N20" s="405"/>
      <c r="O20" s="6"/>
      <c r="P20" s="7" t="s">
        <v>594</v>
      </c>
      <c r="Q20" s="6" t="s">
        <v>52</v>
      </c>
      <c r="R20" s="3" t="s">
        <v>596</v>
      </c>
      <c r="S20" s="3"/>
      <c r="T20" s="3"/>
      <c r="U20" s="8" t="s">
        <v>52</v>
      </c>
      <c r="V20" s="404">
        <f>3*M19+2*M20</f>
        <v>53.127111111111105</v>
      </c>
      <c r="W20" s="404"/>
      <c r="X20" s="6"/>
      <c r="Y20" s="6"/>
      <c r="Z20" s="6"/>
      <c r="AA20" s="6"/>
      <c r="AB20" s="3"/>
      <c r="AC20" s="3"/>
      <c r="AD20" s="360" t="s">
        <v>170</v>
      </c>
      <c r="AE20" s="360"/>
      <c r="AF20" s="360"/>
    </row>
    <row r="21" spans="1:31" ht="9.75" customHeight="1">
      <c r="A21" s="1"/>
      <c r="B21" s="1"/>
      <c r="C21" s="1"/>
      <c r="D21" s="1"/>
      <c r="E21" s="1"/>
      <c r="F21" s="372" t="s">
        <v>182</v>
      </c>
      <c r="G21" s="372"/>
      <c r="H21" s="367" t="s">
        <v>171</v>
      </c>
      <c r="I21" s="275" t="s">
        <v>183</v>
      </c>
      <c r="J21" s="275"/>
      <c r="K21" s="369" t="s">
        <v>185</v>
      </c>
      <c r="L21" s="369" t="s">
        <v>186</v>
      </c>
      <c r="M21" s="369"/>
      <c r="N21" s="369"/>
      <c r="O21" s="369"/>
      <c r="P21" s="369" t="s">
        <v>191</v>
      </c>
      <c r="Q21" s="369" t="s">
        <v>192</v>
      </c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 t="s">
        <v>187</v>
      </c>
      <c r="AD21" s="275">
        <v>1</v>
      </c>
      <c r="AE21" s="275"/>
    </row>
    <row r="22" spans="1:31" ht="9.75" customHeight="1">
      <c r="A22" s="6"/>
      <c r="B22" s="6"/>
      <c r="C22" s="6"/>
      <c r="D22" s="6"/>
      <c r="E22" s="6"/>
      <c r="F22" s="372"/>
      <c r="G22" s="372"/>
      <c r="H22" s="367"/>
      <c r="I22" s="227" t="s">
        <v>184</v>
      </c>
      <c r="J22" s="227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227" t="s">
        <v>546</v>
      </c>
      <c r="AE22" s="227"/>
    </row>
    <row r="23" spans="1:34" ht="9.75" customHeight="1">
      <c r="A23" s="1"/>
      <c r="B23" s="1"/>
      <c r="C23" s="1"/>
      <c r="D23" s="1"/>
      <c r="E23" s="1"/>
      <c r="F23" s="1"/>
      <c r="G23" s="1"/>
      <c r="H23" s="367" t="s">
        <v>171</v>
      </c>
      <c r="I23" s="1"/>
      <c r="J23" s="1"/>
      <c r="K23" s="1"/>
      <c r="L23" s="1"/>
      <c r="M23" s="373">
        <f>dpress</f>
        <v>-115</v>
      </c>
      <c r="N23" s="373"/>
      <c r="O23" s="1"/>
      <c r="P23" s="1"/>
      <c r="Q23" s="1"/>
      <c r="R23" s="369" t="s">
        <v>185</v>
      </c>
      <c r="S23" s="409">
        <f>4*J24*M24^2-2*P15^2*((V20+M20)-M19*(V19+M20)+alpha^2*M20*(V20-V19))</f>
        <v>196578198.44367695</v>
      </c>
      <c r="T23" s="409"/>
      <c r="U23" s="409"/>
      <c r="V23" s="369" t="s">
        <v>554</v>
      </c>
      <c r="W23" s="275">
        <v>1</v>
      </c>
      <c r="X23" s="275"/>
      <c r="Y23" s="381" t="s">
        <v>152</v>
      </c>
      <c r="Z23" s="383">
        <f>M23/8/J24/M24/P24*S23/W24</f>
        <v>-488.3865239883935</v>
      </c>
      <c r="AA23" s="383"/>
      <c r="AB23" s="412" t="str">
        <f>upsx(dpu)</f>
        <v>psi</v>
      </c>
      <c r="AC23" s="412"/>
      <c r="AD23" s="414" t="str">
        <f>IF(Z23&lt;=AE23,"&lt;","&gt;")</f>
        <v>&lt;</v>
      </c>
      <c r="AE23" s="413">
        <f>mas</f>
        <v>18800</v>
      </c>
      <c r="AF23" s="413"/>
      <c r="AG23" s="411" t="str">
        <f>IF(ABS(Z23)&lt;=ABS(AE23),"OK !","NO !")</f>
        <v>OK !</v>
      </c>
      <c r="AH23" s="411"/>
    </row>
    <row r="24" spans="1:34" ht="9.75" customHeight="1">
      <c r="A24" s="6"/>
      <c r="B24" s="6"/>
      <c r="C24" s="6"/>
      <c r="D24" s="6"/>
      <c r="E24" s="6"/>
      <c r="F24" s="6"/>
      <c r="G24" s="6"/>
      <c r="H24" s="367"/>
      <c r="I24" s="22" t="s">
        <v>188</v>
      </c>
      <c r="J24" s="371">
        <f>AF19</f>
        <v>1494.7234512592588</v>
      </c>
      <c r="K24" s="227"/>
      <c r="L24" s="22" t="s">
        <v>189</v>
      </c>
      <c r="M24" s="227">
        <f>sh</f>
        <v>152.39999999999998</v>
      </c>
      <c r="N24" s="227"/>
      <c r="O24" s="22" t="s">
        <v>189</v>
      </c>
      <c r="P24" s="227">
        <f>lt2</f>
        <v>25.4</v>
      </c>
      <c r="Q24" s="227"/>
      <c r="R24" s="369"/>
      <c r="S24" s="409"/>
      <c r="T24" s="409"/>
      <c r="U24" s="409"/>
      <c r="V24" s="369"/>
      <c r="W24" s="227">
        <f>jem1</f>
        <v>1</v>
      </c>
      <c r="X24" s="227"/>
      <c r="Y24" s="381"/>
      <c r="Z24" s="383"/>
      <c r="AA24" s="383"/>
      <c r="AB24" s="412"/>
      <c r="AC24" s="412"/>
      <c r="AD24" s="414"/>
      <c r="AE24" s="413"/>
      <c r="AF24" s="413"/>
      <c r="AG24" s="411"/>
      <c r="AH24" s="411"/>
    </row>
    <row r="25" spans="1:31" ht="9.75" customHeight="1">
      <c r="A25" s="1"/>
      <c r="B25" s="1"/>
      <c r="C25" s="1"/>
      <c r="D25" s="1"/>
      <c r="E25" s="1"/>
      <c r="F25" s="372" t="s">
        <v>193</v>
      </c>
      <c r="G25" s="372"/>
      <c r="H25" s="367" t="s">
        <v>171</v>
      </c>
      <c r="I25" s="275" t="s">
        <v>183</v>
      </c>
      <c r="J25" s="275"/>
      <c r="K25" s="369" t="s">
        <v>185</v>
      </c>
      <c r="L25" s="369" t="s">
        <v>186</v>
      </c>
      <c r="M25" s="369"/>
      <c r="N25" s="369"/>
      <c r="O25" s="369"/>
      <c r="P25" s="369" t="s">
        <v>191</v>
      </c>
      <c r="Q25" s="368" t="s">
        <v>195</v>
      </c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9" t="s">
        <v>187</v>
      </c>
      <c r="AD25" s="275">
        <v>1</v>
      </c>
      <c r="AE25" s="275"/>
    </row>
    <row r="26" spans="1:31" ht="9.75" customHeight="1">
      <c r="A26" s="6"/>
      <c r="B26" s="6"/>
      <c r="C26" s="6"/>
      <c r="D26" s="6"/>
      <c r="E26" s="6"/>
      <c r="F26" s="372"/>
      <c r="G26" s="372"/>
      <c r="H26" s="367"/>
      <c r="I26" s="408" t="s">
        <v>194</v>
      </c>
      <c r="J26" s="408"/>
      <c r="K26" s="369"/>
      <c r="L26" s="369"/>
      <c r="M26" s="369"/>
      <c r="N26" s="369"/>
      <c r="O26" s="369"/>
      <c r="P26" s="369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9"/>
      <c r="AD26" s="227" t="s">
        <v>547</v>
      </c>
      <c r="AE26" s="227"/>
    </row>
    <row r="27" spans="1:34" ht="9.75" customHeight="1">
      <c r="A27" s="1"/>
      <c r="B27" s="1"/>
      <c r="C27" s="1"/>
      <c r="D27" s="1"/>
      <c r="E27" s="1"/>
      <c r="F27" s="1"/>
      <c r="G27" s="1"/>
      <c r="H27" s="367" t="s">
        <v>171</v>
      </c>
      <c r="I27" s="1"/>
      <c r="J27" s="1"/>
      <c r="K27" s="1"/>
      <c r="L27" s="1"/>
      <c r="M27" s="373">
        <f>M23</f>
        <v>-115</v>
      </c>
      <c r="N27" s="373"/>
      <c r="O27" s="1"/>
      <c r="P27" s="1"/>
      <c r="Q27" s="1"/>
      <c r="R27" s="369" t="s">
        <v>185</v>
      </c>
      <c r="S27" s="409">
        <f>4*J24*M24^2-2*P15^2*(-(V20+M20)+M19*(V19+M20)-alpha^2*M20*(V20-V19))</f>
        <v>81150506.71887696</v>
      </c>
      <c r="T27" s="409"/>
      <c r="U27" s="409"/>
      <c r="V27" s="369" t="s">
        <v>554</v>
      </c>
      <c r="W27" s="275">
        <v>1</v>
      </c>
      <c r="X27" s="275"/>
      <c r="Y27" s="381" t="s">
        <v>152</v>
      </c>
      <c r="Z27" s="383">
        <f>M27/8/J28/M28/P28*S27/W28</f>
        <v>-168.0112300096721</v>
      </c>
      <c r="AA27" s="383"/>
      <c r="AB27" s="412" t="str">
        <f>AB23</f>
        <v>psi</v>
      </c>
      <c r="AC27" s="412"/>
      <c r="AD27" s="414" t="str">
        <f>IF(Z27&lt;=AE27,"&lt;","&gt;")</f>
        <v>&lt;</v>
      </c>
      <c r="AE27" s="413">
        <f>AE23</f>
        <v>18800</v>
      </c>
      <c r="AF27" s="413"/>
      <c r="AG27" s="411" t="str">
        <f>IF(ABS(Z27)&lt;=ABS(AE27),"OK !","NO !")</f>
        <v>OK !</v>
      </c>
      <c r="AH27" s="411"/>
    </row>
    <row r="28" spans="1:34" ht="9.75" customHeight="1">
      <c r="A28" s="6"/>
      <c r="B28" s="6"/>
      <c r="C28" s="6"/>
      <c r="D28" s="6"/>
      <c r="E28" s="6"/>
      <c r="F28" s="6"/>
      <c r="G28" s="6"/>
      <c r="H28" s="367"/>
      <c r="I28" s="22" t="s">
        <v>188</v>
      </c>
      <c r="J28" s="371">
        <f>J24</f>
        <v>1494.7234512592588</v>
      </c>
      <c r="K28" s="227"/>
      <c r="L28" s="22" t="s">
        <v>189</v>
      </c>
      <c r="M28" s="227">
        <f>M24</f>
        <v>152.39999999999998</v>
      </c>
      <c r="N28" s="227"/>
      <c r="O28" s="22" t="s">
        <v>189</v>
      </c>
      <c r="P28" s="227">
        <f>lt22</f>
        <v>50.8</v>
      </c>
      <c r="Q28" s="227"/>
      <c r="R28" s="369"/>
      <c r="S28" s="409"/>
      <c r="T28" s="409"/>
      <c r="U28" s="409"/>
      <c r="V28" s="369"/>
      <c r="W28" s="227">
        <f>jem</f>
        <v>0.6</v>
      </c>
      <c r="X28" s="227"/>
      <c r="Y28" s="381"/>
      <c r="Z28" s="383"/>
      <c r="AA28" s="383"/>
      <c r="AB28" s="412"/>
      <c r="AC28" s="412"/>
      <c r="AD28" s="414"/>
      <c r="AE28" s="413"/>
      <c r="AF28" s="413"/>
      <c r="AG28" s="411"/>
      <c r="AH28" s="411"/>
    </row>
    <row r="29" spans="1:28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</row>
    <row r="30" spans="1:29" ht="9.75" customHeight="1">
      <c r="A30" s="6"/>
      <c r="B30" s="6"/>
      <c r="C30" s="6"/>
      <c r="D30" s="7" t="s">
        <v>174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</row>
    <row r="31" spans="1:29" ht="9.75" customHeight="1">
      <c r="A31" s="1"/>
      <c r="B31" s="1"/>
      <c r="C31" s="1"/>
      <c r="D31" s="1"/>
      <c r="E31" s="9" t="str">
        <f>E14</f>
        <v>Short Side Plate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9" ht="9.75" customHeight="1">
      <c r="A32" s="6"/>
      <c r="B32" s="6"/>
      <c r="C32" s="6"/>
      <c r="D32" s="6"/>
      <c r="E32" s="6"/>
      <c r="F32" s="372" t="s">
        <v>390</v>
      </c>
      <c r="G32" s="372"/>
      <c r="H32" s="367" t="s">
        <v>171</v>
      </c>
      <c r="I32" s="275" t="s">
        <v>196</v>
      </c>
      <c r="J32" s="275"/>
      <c r="K32" s="3"/>
      <c r="L32" s="410" t="s">
        <v>175</v>
      </c>
      <c r="M32" s="369" t="s">
        <v>198</v>
      </c>
      <c r="N32" s="369"/>
      <c r="O32" s="369"/>
      <c r="P32" s="369"/>
      <c r="Q32" s="369"/>
      <c r="R32" s="369"/>
      <c r="S32" s="369"/>
      <c r="T32" s="369"/>
      <c r="U32" s="369"/>
      <c r="V32" s="367" t="s">
        <v>199</v>
      </c>
      <c r="W32" s="3"/>
      <c r="X32" s="3"/>
      <c r="Y32" s="3"/>
      <c r="Z32" s="3"/>
      <c r="AA32" s="3"/>
      <c r="AB32" s="3"/>
      <c r="AC32" s="3"/>
    </row>
    <row r="33" spans="1:29" ht="9.75" customHeight="1">
      <c r="A33" s="1"/>
      <c r="B33" s="1"/>
      <c r="C33" s="1"/>
      <c r="D33" s="1"/>
      <c r="E33" s="1"/>
      <c r="F33" s="372"/>
      <c r="G33" s="372"/>
      <c r="H33" s="367"/>
      <c r="I33" s="227" t="s">
        <v>197</v>
      </c>
      <c r="J33" s="227"/>
      <c r="L33" s="410"/>
      <c r="M33" s="369"/>
      <c r="N33" s="369"/>
      <c r="O33" s="369"/>
      <c r="P33" s="369"/>
      <c r="Q33" s="369"/>
      <c r="R33" s="369"/>
      <c r="S33" s="369"/>
      <c r="T33" s="369"/>
      <c r="U33" s="369"/>
      <c r="V33" s="367"/>
      <c r="AC33" s="3"/>
    </row>
    <row r="34" spans="1:34" ht="9.75" customHeight="1">
      <c r="A34" s="1"/>
      <c r="B34" s="1"/>
      <c r="C34" s="1"/>
      <c r="D34" s="1"/>
      <c r="E34" s="1"/>
      <c r="F34" s="1"/>
      <c r="G34" s="1"/>
      <c r="H34" s="1"/>
      <c r="I34" s="275">
        <f>M15</f>
        <v>-115</v>
      </c>
      <c r="J34" s="275"/>
      <c r="K34" s="21" t="s">
        <v>189</v>
      </c>
      <c r="L34" s="275">
        <f>sco1</f>
        <v>-7.9375</v>
      </c>
      <c r="M34" s="275"/>
      <c r="N34" s="21" t="s">
        <v>189</v>
      </c>
      <c r="O34" s="275">
        <f>P15</f>
        <v>342.9</v>
      </c>
      <c r="P34" s="275"/>
      <c r="Q34" s="1" t="s">
        <v>190</v>
      </c>
      <c r="R34" s="369" t="s">
        <v>175</v>
      </c>
      <c r="S34" s="407">
        <f>(V20-M19*M20)+alpha^2*M20*(V20-M20)</f>
        <v>47.556441235177545</v>
      </c>
      <c r="T34" s="407"/>
      <c r="U34" s="407"/>
      <c r="V34" s="369" t="s">
        <v>199</v>
      </c>
      <c r="Z34" s="42" t="s">
        <v>363</v>
      </c>
      <c r="AC34" s="55" t="s">
        <v>52</v>
      </c>
      <c r="AD34" s="378">
        <f>I34*L34*O34^2/I35/L35/O35*S34</f>
        <v>2560.619810767391</v>
      </c>
      <c r="AE34" s="378"/>
      <c r="AF34" s="378"/>
      <c r="AG34" s="54" t="str">
        <f>AB15</f>
        <v>psi</v>
      </c>
      <c r="AH34" s="54"/>
    </row>
    <row r="35" spans="1:34" ht="9.75" customHeight="1">
      <c r="A35" s="6"/>
      <c r="B35" s="6"/>
      <c r="C35" s="6"/>
      <c r="D35" s="6"/>
      <c r="E35" s="6"/>
      <c r="F35" s="6"/>
      <c r="G35" s="6"/>
      <c r="H35" s="6"/>
      <c r="I35" s="227">
        <v>4</v>
      </c>
      <c r="J35" s="227"/>
      <c r="K35" s="22" t="s">
        <v>189</v>
      </c>
      <c r="L35" s="371">
        <f>AF19</f>
        <v>1494.7234512592588</v>
      </c>
      <c r="M35" s="227"/>
      <c r="N35" s="22" t="s">
        <v>189</v>
      </c>
      <c r="O35" s="371">
        <f>si1</f>
        <v>333.3956705729167</v>
      </c>
      <c r="P35" s="371"/>
      <c r="Q35" s="23"/>
      <c r="R35" s="369"/>
      <c r="S35" s="407"/>
      <c r="T35" s="407"/>
      <c r="U35" s="407"/>
      <c r="V35" s="369"/>
      <c r="W35" s="3"/>
      <c r="X35" s="3"/>
      <c r="Y35" s="3"/>
      <c r="Z35" s="42" t="s">
        <v>364</v>
      </c>
      <c r="AA35" s="3"/>
      <c r="AC35" s="55" t="s">
        <v>52</v>
      </c>
      <c r="AD35" s="378">
        <f>I34*(-L34)*O34^2/I35/L35/O35*S34</f>
        <v>-2560.619810767391</v>
      </c>
      <c r="AE35" s="378"/>
      <c r="AF35" s="378"/>
      <c r="AG35" s="54" t="str">
        <f>AG34</f>
        <v>psi</v>
      </c>
      <c r="AH35" s="54"/>
    </row>
    <row r="36" spans="1:34" ht="9.75" customHeight="1">
      <c r="A36" s="6"/>
      <c r="B36" s="6"/>
      <c r="C36" s="6"/>
      <c r="D36" s="6"/>
      <c r="E36" s="6"/>
      <c r="F36" s="372" t="s">
        <v>391</v>
      </c>
      <c r="G36" s="372"/>
      <c r="H36" s="367" t="s">
        <v>171</v>
      </c>
      <c r="I36" s="275" t="s">
        <v>196</v>
      </c>
      <c r="J36" s="275"/>
      <c r="K36" s="3"/>
      <c r="L36" s="367" t="s">
        <v>175</v>
      </c>
      <c r="M36" s="369" t="s">
        <v>201</v>
      </c>
      <c r="N36" s="369"/>
      <c r="O36" s="369"/>
      <c r="P36" s="369"/>
      <c r="Q36" s="369"/>
      <c r="R36" s="369"/>
      <c r="S36" s="369"/>
      <c r="T36" s="369"/>
      <c r="U36" s="369"/>
      <c r="V36" s="367" t="s">
        <v>199</v>
      </c>
      <c r="W36" s="3"/>
      <c r="X36" s="3"/>
      <c r="Y36" s="3"/>
      <c r="Z36" s="3"/>
      <c r="AA36" s="3"/>
      <c r="AC36" s="381" t="s">
        <v>171</v>
      </c>
      <c r="AD36" s="415"/>
      <c r="AE36" s="415"/>
      <c r="AF36" s="415"/>
      <c r="AG36" s="54"/>
      <c r="AH36" s="54"/>
    </row>
    <row r="37" spans="1:34" ht="9.75" customHeight="1">
      <c r="A37" s="1"/>
      <c r="B37" s="1"/>
      <c r="C37" s="1"/>
      <c r="D37" s="1"/>
      <c r="E37" s="1"/>
      <c r="F37" s="372"/>
      <c r="G37" s="372"/>
      <c r="H37" s="367"/>
      <c r="I37" s="227" t="s">
        <v>197</v>
      </c>
      <c r="J37" s="227"/>
      <c r="L37" s="367"/>
      <c r="M37" s="369"/>
      <c r="N37" s="369"/>
      <c r="O37" s="369"/>
      <c r="P37" s="369"/>
      <c r="Q37" s="369"/>
      <c r="R37" s="369"/>
      <c r="S37" s="369"/>
      <c r="T37" s="369"/>
      <c r="U37" s="369"/>
      <c r="V37" s="367"/>
      <c r="AC37" s="381"/>
      <c r="AD37" s="415"/>
      <c r="AE37" s="415"/>
      <c r="AF37" s="415"/>
      <c r="AG37" s="54"/>
      <c r="AH37" s="54"/>
    </row>
    <row r="38" spans="1:34" ht="9.75" customHeight="1">
      <c r="A38" s="1"/>
      <c r="B38" s="1"/>
      <c r="C38" s="1"/>
      <c r="D38" s="1"/>
      <c r="E38" s="1"/>
      <c r="F38" s="1"/>
      <c r="G38" s="1"/>
      <c r="H38" s="367" t="s">
        <v>171</v>
      </c>
      <c r="I38" s="275">
        <f>I34</f>
        <v>-115</v>
      </c>
      <c r="J38" s="275"/>
      <c r="K38" s="21" t="s">
        <v>189</v>
      </c>
      <c r="L38" s="275">
        <f>L34</f>
        <v>-7.9375</v>
      </c>
      <c r="M38" s="275"/>
      <c r="N38" s="21" t="s">
        <v>189</v>
      </c>
      <c r="O38" s="275">
        <f>O34</f>
        <v>342.9</v>
      </c>
      <c r="P38" s="275"/>
      <c r="Q38" s="1" t="s">
        <v>190</v>
      </c>
      <c r="R38" s="369" t="s">
        <v>185</v>
      </c>
      <c r="S38" s="407">
        <f>(V19*M19-M20)+alpha^2*M20*(V19-M20)</f>
        <v>292.9793218936137</v>
      </c>
      <c r="T38" s="407"/>
      <c r="U38" s="407"/>
      <c r="V38" s="369" t="s">
        <v>200</v>
      </c>
      <c r="Z38" s="42" t="s">
        <v>363</v>
      </c>
      <c r="AC38" s="55" t="s">
        <v>52</v>
      </c>
      <c r="AD38" s="378">
        <f>I38*L38*O38^2/I39/L39/O39*S38</f>
        <v>15775.12186153773</v>
      </c>
      <c r="AE38" s="378"/>
      <c r="AF38" s="378"/>
      <c r="AG38" s="54" t="str">
        <f>AG34</f>
        <v>psi</v>
      </c>
      <c r="AH38" s="54"/>
    </row>
    <row r="39" spans="1:34" ht="9.75" customHeight="1">
      <c r="A39" s="6"/>
      <c r="B39" s="6"/>
      <c r="C39" s="6"/>
      <c r="D39" s="6"/>
      <c r="E39" s="6"/>
      <c r="F39" s="6"/>
      <c r="G39" s="6"/>
      <c r="H39" s="367"/>
      <c r="I39" s="227">
        <v>4</v>
      </c>
      <c r="J39" s="227"/>
      <c r="K39" s="22" t="s">
        <v>189</v>
      </c>
      <c r="L39" s="371">
        <f>L35</f>
        <v>1494.7234512592588</v>
      </c>
      <c r="M39" s="227"/>
      <c r="N39" s="22" t="s">
        <v>189</v>
      </c>
      <c r="O39" s="371">
        <f>O35</f>
        <v>333.3956705729167</v>
      </c>
      <c r="P39" s="371"/>
      <c r="Q39" s="23"/>
      <c r="R39" s="369"/>
      <c r="S39" s="407"/>
      <c r="T39" s="407"/>
      <c r="U39" s="407"/>
      <c r="V39" s="369"/>
      <c r="W39" s="3"/>
      <c r="X39" s="3"/>
      <c r="Y39" s="3"/>
      <c r="Z39" s="42" t="s">
        <v>364</v>
      </c>
      <c r="AA39" s="3"/>
      <c r="AC39" s="55" t="s">
        <v>52</v>
      </c>
      <c r="AD39" s="378">
        <f>I38*(-L38)*O38^2/I39/L39/O39*S38</f>
        <v>-15775.12186153773</v>
      </c>
      <c r="AE39" s="378"/>
      <c r="AF39" s="378"/>
      <c r="AG39" s="54" t="str">
        <f>AG38</f>
        <v>psi</v>
      </c>
      <c r="AH39" s="54"/>
    </row>
    <row r="40" spans="1:34" ht="9.75" customHeight="1">
      <c r="A40" s="1"/>
      <c r="B40" s="1"/>
      <c r="C40" s="1"/>
      <c r="D40" s="1"/>
      <c r="E40" s="9" t="str">
        <f>E17</f>
        <v>Long Side Plate</v>
      </c>
      <c r="F40" s="1"/>
      <c r="G40" s="1"/>
      <c r="H40" s="1"/>
      <c r="I40" s="1"/>
      <c r="J40" s="1"/>
      <c r="K40" s="1" t="s">
        <v>598</v>
      </c>
      <c r="L40" s="1"/>
      <c r="M40" s="1"/>
      <c r="N40" s="9" t="s">
        <v>599</v>
      </c>
      <c r="O40" s="1"/>
      <c r="P40" s="1" t="s">
        <v>52</v>
      </c>
      <c r="Q40" s="53" t="s">
        <v>600</v>
      </c>
      <c r="R40" s="1"/>
      <c r="S40" s="21" t="s">
        <v>52</v>
      </c>
      <c r="T40" s="275">
        <f>-lt22</f>
        <v>-50.8</v>
      </c>
      <c r="U40" s="275"/>
      <c r="V40" s="8" t="s">
        <v>601</v>
      </c>
      <c r="W40" s="8" t="s">
        <v>52</v>
      </c>
      <c r="X40" s="304">
        <f>T40/2</f>
        <v>-25.4</v>
      </c>
      <c r="Y40" s="304"/>
      <c r="AA40" s="42" t="s">
        <v>602</v>
      </c>
      <c r="AC40" s="3" t="s">
        <v>52</v>
      </c>
      <c r="AD40" s="149" t="s">
        <v>603</v>
      </c>
      <c r="AF40" s="8" t="s">
        <v>52</v>
      </c>
      <c r="AG40" s="304">
        <f>-X40</f>
        <v>25.4</v>
      </c>
      <c r="AH40" s="304"/>
    </row>
    <row r="41" spans="1:29" ht="9.75" customHeight="1">
      <c r="A41" s="6"/>
      <c r="B41" s="6"/>
      <c r="C41" s="6"/>
      <c r="D41" s="6"/>
      <c r="E41" s="6"/>
      <c r="F41" s="372" t="s">
        <v>388</v>
      </c>
      <c r="G41" s="372"/>
      <c r="H41" s="367" t="s">
        <v>171</v>
      </c>
      <c r="I41" s="275" t="s">
        <v>196</v>
      </c>
      <c r="J41" s="275"/>
      <c r="K41" s="369" t="s">
        <v>185</v>
      </c>
      <c r="L41" s="369" t="s">
        <v>202</v>
      </c>
      <c r="M41" s="381" t="s">
        <v>198</v>
      </c>
      <c r="N41" s="381"/>
      <c r="O41" s="381"/>
      <c r="P41" s="381"/>
      <c r="Q41" s="381"/>
      <c r="R41" s="381"/>
      <c r="S41" s="381"/>
      <c r="T41" s="381"/>
      <c r="U41" s="381"/>
      <c r="V41" s="369" t="s">
        <v>204</v>
      </c>
      <c r="W41" s="369" t="s">
        <v>203</v>
      </c>
      <c r="X41" s="369" t="s">
        <v>200</v>
      </c>
      <c r="Y41" s="275">
        <v>1</v>
      </c>
      <c r="Z41" s="275"/>
      <c r="AA41" s="3"/>
      <c r="AB41" s="3"/>
      <c r="AC41" s="3"/>
    </row>
    <row r="42" spans="1:29" ht="9.75" customHeight="1">
      <c r="A42" s="6"/>
      <c r="B42" s="6"/>
      <c r="C42" s="6"/>
      <c r="D42" s="6"/>
      <c r="E42" s="6"/>
      <c r="F42" s="372"/>
      <c r="G42" s="372"/>
      <c r="H42" s="367"/>
      <c r="I42" s="227" t="s">
        <v>207</v>
      </c>
      <c r="J42" s="227"/>
      <c r="K42" s="369"/>
      <c r="L42" s="369"/>
      <c r="M42" s="381"/>
      <c r="N42" s="381"/>
      <c r="O42" s="381"/>
      <c r="P42" s="381"/>
      <c r="Q42" s="381"/>
      <c r="R42" s="381"/>
      <c r="S42" s="381"/>
      <c r="T42" s="381"/>
      <c r="U42" s="381"/>
      <c r="V42" s="369"/>
      <c r="W42" s="369"/>
      <c r="X42" s="369"/>
      <c r="Y42" s="227" t="s">
        <v>547</v>
      </c>
      <c r="Z42" s="227"/>
      <c r="AA42" s="3"/>
      <c r="AB42" s="3"/>
      <c r="AC42" s="3"/>
    </row>
    <row r="43" spans="1:34" ht="9.75" customHeight="1">
      <c r="A43" s="1"/>
      <c r="B43" s="1"/>
      <c r="C43" s="1"/>
      <c r="D43" s="1"/>
      <c r="E43" s="1"/>
      <c r="F43" s="1"/>
      <c r="G43" s="1"/>
      <c r="H43" s="367" t="s">
        <v>171</v>
      </c>
      <c r="I43" s="275">
        <f>M23</f>
        <v>-115</v>
      </c>
      <c r="J43" s="275"/>
      <c r="K43" s="21" t="s">
        <v>189</v>
      </c>
      <c r="L43" s="275">
        <f>X40</f>
        <v>-25.4</v>
      </c>
      <c r="M43" s="275"/>
      <c r="N43" s="21" t="s">
        <v>189</v>
      </c>
      <c r="O43" s="275">
        <f>P15</f>
        <v>342.9</v>
      </c>
      <c r="P43" s="275"/>
      <c r="Q43" s="1" t="s">
        <v>190</v>
      </c>
      <c r="R43" s="369" t="s">
        <v>185</v>
      </c>
      <c r="S43" s="407">
        <f>2*((V20-M19*M20)+alpha^2*M20*(V20-M20))-L44</f>
        <v>-1399.6105687889037</v>
      </c>
      <c r="T43" s="407"/>
      <c r="U43" s="407"/>
      <c r="V43" s="369" t="s">
        <v>200</v>
      </c>
      <c r="Y43" s="275">
        <v>1</v>
      </c>
      <c r="Z43" s="275"/>
      <c r="AA43" s="42" t="s">
        <v>363</v>
      </c>
      <c r="AD43" s="55" t="s">
        <v>52</v>
      </c>
      <c r="AE43" s="417">
        <f>I43*L43*O43^2/I44/L44/O44*S43/Y44</f>
        <v>-6132.841827674578</v>
      </c>
      <c r="AF43" s="417"/>
      <c r="AG43" s="417"/>
      <c r="AH43" s="54" t="str">
        <f>AB23</f>
        <v>psi</v>
      </c>
    </row>
    <row r="44" spans="1:34" ht="9.75" customHeight="1">
      <c r="A44" s="1"/>
      <c r="B44" s="1"/>
      <c r="C44" s="1"/>
      <c r="D44" s="1"/>
      <c r="E44" s="1"/>
      <c r="F44" s="1"/>
      <c r="G44" s="1"/>
      <c r="H44" s="367"/>
      <c r="I44" s="227">
        <v>8</v>
      </c>
      <c r="J44" s="227"/>
      <c r="K44" s="22" t="s">
        <v>189</v>
      </c>
      <c r="L44" s="371">
        <f>AF19</f>
        <v>1494.7234512592588</v>
      </c>
      <c r="M44" s="227"/>
      <c r="N44" s="22" t="s">
        <v>189</v>
      </c>
      <c r="O44" s="371">
        <f>V18</f>
        <v>10924.709333333332</v>
      </c>
      <c r="P44" s="371"/>
      <c r="Q44" s="23"/>
      <c r="R44" s="369"/>
      <c r="S44" s="407"/>
      <c r="T44" s="407"/>
      <c r="U44" s="407"/>
      <c r="V44" s="369"/>
      <c r="W44" s="3"/>
      <c r="X44" s="3"/>
      <c r="Y44" s="227">
        <f>jem</f>
        <v>0.6</v>
      </c>
      <c r="Z44" s="227"/>
      <c r="AA44" s="42" t="s">
        <v>364</v>
      </c>
      <c r="AB44" s="3"/>
      <c r="AD44" s="55" t="s">
        <v>52</v>
      </c>
      <c r="AE44" s="417">
        <f>I43*(-L43)*O43^2/I44/L44/O44*S43/Y44</f>
        <v>6132.841827674578</v>
      </c>
      <c r="AF44" s="417"/>
      <c r="AG44" s="417"/>
      <c r="AH44" s="54" t="str">
        <f>AH43</f>
        <v>psi</v>
      </c>
    </row>
    <row r="45" spans="1:30" ht="9.75" customHeight="1">
      <c r="A45" s="6"/>
      <c r="B45" s="6"/>
      <c r="C45" s="6"/>
      <c r="D45" s="6"/>
      <c r="E45" s="6"/>
      <c r="F45" s="372" t="s">
        <v>392</v>
      </c>
      <c r="G45" s="372"/>
      <c r="H45" s="367" t="s">
        <v>171</v>
      </c>
      <c r="I45" s="275" t="s">
        <v>196</v>
      </c>
      <c r="J45" s="275"/>
      <c r="K45" s="369" t="s">
        <v>185</v>
      </c>
      <c r="L45" s="369" t="s">
        <v>202</v>
      </c>
      <c r="M45" s="381" t="s">
        <v>201</v>
      </c>
      <c r="N45" s="381"/>
      <c r="O45" s="381"/>
      <c r="P45" s="381"/>
      <c r="Q45" s="381"/>
      <c r="R45" s="381"/>
      <c r="S45" s="381"/>
      <c r="T45" s="381"/>
      <c r="U45" s="381"/>
      <c r="V45" s="369" t="s">
        <v>204</v>
      </c>
      <c r="W45" s="369" t="s">
        <v>203</v>
      </c>
      <c r="X45" s="369" t="s">
        <v>200</v>
      </c>
      <c r="Y45" s="275">
        <v>1</v>
      </c>
      <c r="Z45" s="275"/>
      <c r="AA45" s="3"/>
      <c r="AC45" s="3"/>
      <c r="AD45" s="3"/>
    </row>
    <row r="46" spans="1:30" ht="9.75" customHeight="1">
      <c r="A46" s="6"/>
      <c r="B46" s="6"/>
      <c r="C46" s="6"/>
      <c r="D46" s="6"/>
      <c r="E46" s="6"/>
      <c r="F46" s="372"/>
      <c r="G46" s="372"/>
      <c r="H46" s="367"/>
      <c r="I46" s="227" t="s">
        <v>208</v>
      </c>
      <c r="J46" s="227"/>
      <c r="K46" s="369"/>
      <c r="L46" s="369"/>
      <c r="M46" s="381"/>
      <c r="N46" s="381"/>
      <c r="O46" s="381"/>
      <c r="P46" s="381"/>
      <c r="Q46" s="381"/>
      <c r="R46" s="381"/>
      <c r="S46" s="381"/>
      <c r="T46" s="381"/>
      <c r="U46" s="381"/>
      <c r="V46" s="369"/>
      <c r="W46" s="369"/>
      <c r="X46" s="369"/>
      <c r="Y46" s="227" t="s">
        <v>546</v>
      </c>
      <c r="Z46" s="227"/>
      <c r="AA46" s="3"/>
      <c r="AC46" s="3"/>
      <c r="AD46" s="3"/>
    </row>
    <row r="47" spans="1:34" ht="9.75" customHeight="1">
      <c r="A47" s="1"/>
      <c r="B47" s="1"/>
      <c r="C47" s="1"/>
      <c r="D47" s="1"/>
      <c r="E47" s="1"/>
      <c r="F47" s="1"/>
      <c r="G47" s="1"/>
      <c r="H47" s="367" t="s">
        <v>171</v>
      </c>
      <c r="I47" s="275">
        <f>I43</f>
        <v>-115</v>
      </c>
      <c r="J47" s="275"/>
      <c r="K47" s="21" t="s">
        <v>189</v>
      </c>
      <c r="L47" s="275">
        <f>lco2</f>
        <v>-12.7</v>
      </c>
      <c r="M47" s="275"/>
      <c r="N47" s="21" t="s">
        <v>189</v>
      </c>
      <c r="O47" s="275">
        <f>O43</f>
        <v>342.9</v>
      </c>
      <c r="P47" s="275"/>
      <c r="Q47" s="1" t="s">
        <v>190</v>
      </c>
      <c r="R47" s="369" t="s">
        <v>185</v>
      </c>
      <c r="S47" s="407">
        <f>2*((V19*M19-M20)+alpha^2*M20*(V19-M20))-L48</f>
        <v>-908.7648074720314</v>
      </c>
      <c r="T47" s="407"/>
      <c r="U47" s="407"/>
      <c r="V47" s="369" t="s">
        <v>200</v>
      </c>
      <c r="Y47" s="275">
        <v>1</v>
      </c>
      <c r="Z47" s="275"/>
      <c r="AA47" s="42" t="s">
        <v>363</v>
      </c>
      <c r="AD47" s="55" t="s">
        <v>52</v>
      </c>
      <c r="AE47" s="378">
        <f>I47*L47*O47^2/I48/L48/O48*S47/Y48</f>
        <v>-9556.905522836823</v>
      </c>
      <c r="AF47" s="378"/>
      <c r="AG47" s="378"/>
      <c r="AH47" s="54" t="str">
        <f>AH43</f>
        <v>psi</v>
      </c>
    </row>
    <row r="48" spans="1:34" ht="9.75" customHeight="1">
      <c r="A48" s="1"/>
      <c r="B48" s="1"/>
      <c r="C48" s="1"/>
      <c r="D48" s="1"/>
      <c r="E48" s="1"/>
      <c r="F48" s="1"/>
      <c r="G48" s="1"/>
      <c r="H48" s="367"/>
      <c r="I48" s="227">
        <v>8</v>
      </c>
      <c r="J48" s="227"/>
      <c r="K48" s="22" t="s">
        <v>189</v>
      </c>
      <c r="L48" s="371">
        <f>L44</f>
        <v>1494.7234512592588</v>
      </c>
      <c r="M48" s="227"/>
      <c r="N48" s="22" t="s">
        <v>189</v>
      </c>
      <c r="O48" s="371">
        <f>li2</f>
        <v>1365.5886666666665</v>
      </c>
      <c r="P48" s="371"/>
      <c r="Q48" s="23"/>
      <c r="R48" s="369"/>
      <c r="S48" s="407"/>
      <c r="T48" s="407"/>
      <c r="U48" s="407"/>
      <c r="V48" s="369"/>
      <c r="W48" s="3"/>
      <c r="X48" s="3"/>
      <c r="Y48" s="227">
        <f>jem1</f>
        <v>1</v>
      </c>
      <c r="Z48" s="227"/>
      <c r="AA48" s="42" t="s">
        <v>364</v>
      </c>
      <c r="AB48" s="3"/>
      <c r="AD48" s="55" t="s">
        <v>52</v>
      </c>
      <c r="AE48" s="378">
        <f>I47*(-L47)*O47^2/I48/L48/O48*S47/Y48</f>
        <v>9556.905522836823</v>
      </c>
      <c r="AF48" s="378"/>
      <c r="AG48" s="378"/>
      <c r="AH48" s="54" t="str">
        <f>AH47</f>
        <v>psi</v>
      </c>
    </row>
    <row r="49" spans="1:30" ht="9.75" customHeight="1">
      <c r="A49" s="6"/>
      <c r="B49" s="6"/>
      <c r="C49" s="6"/>
      <c r="D49" s="6"/>
      <c r="E49" s="6"/>
      <c r="F49" s="372" t="s">
        <v>389</v>
      </c>
      <c r="G49" s="372"/>
      <c r="H49" s="367" t="s">
        <v>171</v>
      </c>
      <c r="I49" s="275" t="s">
        <v>196</v>
      </c>
      <c r="J49" s="275"/>
      <c r="K49" s="3"/>
      <c r="L49" s="410" t="s">
        <v>175</v>
      </c>
      <c r="M49" s="381" t="s">
        <v>198</v>
      </c>
      <c r="N49" s="381"/>
      <c r="O49" s="381"/>
      <c r="P49" s="381"/>
      <c r="Q49" s="381"/>
      <c r="R49" s="381"/>
      <c r="S49" s="381"/>
      <c r="T49" s="381"/>
      <c r="U49" s="381"/>
      <c r="V49" s="367" t="s">
        <v>199</v>
      </c>
      <c r="W49" s="3"/>
      <c r="X49" s="3"/>
      <c r="Y49" s="3"/>
      <c r="Z49" s="3"/>
      <c r="AA49" s="3"/>
      <c r="AC49" s="3"/>
      <c r="AD49" s="3"/>
    </row>
    <row r="50" spans="1:30" ht="9.75" customHeight="1">
      <c r="A50" s="6"/>
      <c r="B50" s="6"/>
      <c r="C50" s="6"/>
      <c r="D50" s="6"/>
      <c r="E50" s="6"/>
      <c r="F50" s="372"/>
      <c r="G50" s="372"/>
      <c r="H50" s="367"/>
      <c r="I50" s="227" t="s">
        <v>205</v>
      </c>
      <c r="J50" s="227"/>
      <c r="K50" s="3"/>
      <c r="L50" s="410"/>
      <c r="M50" s="381"/>
      <c r="N50" s="381"/>
      <c r="O50" s="381"/>
      <c r="P50" s="381"/>
      <c r="Q50" s="381"/>
      <c r="R50" s="381"/>
      <c r="S50" s="381"/>
      <c r="T50" s="381"/>
      <c r="U50" s="381"/>
      <c r="V50" s="367"/>
      <c r="W50" s="3"/>
      <c r="X50" s="3"/>
      <c r="Y50" s="3"/>
      <c r="Z50" s="3"/>
      <c r="AA50" s="3"/>
      <c r="AC50" s="3"/>
      <c r="AD50" s="3"/>
    </row>
    <row r="51" spans="1:34" ht="9.75" customHeight="1">
      <c r="A51" s="1"/>
      <c r="B51" s="1"/>
      <c r="C51" s="1"/>
      <c r="D51" s="1"/>
      <c r="E51" s="1"/>
      <c r="F51" s="1"/>
      <c r="G51" s="1"/>
      <c r="H51" s="367" t="s">
        <v>171</v>
      </c>
      <c r="I51" s="275">
        <f>I43</f>
        <v>-115</v>
      </c>
      <c r="J51" s="275"/>
      <c r="K51" s="21" t="s">
        <v>189</v>
      </c>
      <c r="L51" s="275">
        <f>L43</f>
        <v>-25.4</v>
      </c>
      <c r="M51" s="275"/>
      <c r="N51" s="21" t="s">
        <v>189</v>
      </c>
      <c r="O51" s="275">
        <f>O43</f>
        <v>342.9</v>
      </c>
      <c r="P51" s="275"/>
      <c r="Q51" s="1" t="s">
        <v>190</v>
      </c>
      <c r="R51" s="369" t="s">
        <v>191</v>
      </c>
      <c r="S51" s="407">
        <f>S34</f>
        <v>47.556441235177545</v>
      </c>
      <c r="T51" s="407"/>
      <c r="U51" s="407"/>
      <c r="V51" s="369" t="s">
        <v>199</v>
      </c>
      <c r="Z51" s="42" t="s">
        <v>363</v>
      </c>
      <c r="AC51" s="55" t="s">
        <v>52</v>
      </c>
      <c r="AD51" s="378">
        <f>I51*L51*O51^2/I52/L52/O52*S51</f>
        <v>250.06052839525302</v>
      </c>
      <c r="AE51" s="378"/>
      <c r="AF51" s="378"/>
      <c r="AG51" s="54" t="str">
        <f>AH43</f>
        <v>psi</v>
      </c>
      <c r="AH51" s="54"/>
    </row>
    <row r="52" spans="1:34" ht="9.75" customHeight="1">
      <c r="A52" s="1"/>
      <c r="B52" s="1"/>
      <c r="C52" s="1"/>
      <c r="D52" s="1"/>
      <c r="E52" s="1"/>
      <c r="F52" s="1"/>
      <c r="G52" s="1"/>
      <c r="H52" s="367"/>
      <c r="I52" s="227">
        <v>4</v>
      </c>
      <c r="J52" s="227"/>
      <c r="K52" s="22" t="s">
        <v>189</v>
      </c>
      <c r="L52" s="371">
        <f>L44</f>
        <v>1494.7234512592588</v>
      </c>
      <c r="M52" s="227"/>
      <c r="N52" s="22" t="s">
        <v>189</v>
      </c>
      <c r="O52" s="371">
        <f>O44</f>
        <v>10924.709333333332</v>
      </c>
      <c r="P52" s="371"/>
      <c r="Q52" s="23"/>
      <c r="R52" s="369"/>
      <c r="S52" s="407"/>
      <c r="T52" s="407"/>
      <c r="U52" s="407"/>
      <c r="V52" s="369"/>
      <c r="W52" s="3"/>
      <c r="X52" s="3"/>
      <c r="Y52" s="3"/>
      <c r="Z52" s="42" t="s">
        <v>364</v>
      </c>
      <c r="AA52" s="3"/>
      <c r="AC52" s="55" t="s">
        <v>52</v>
      </c>
      <c r="AD52" s="378">
        <f>I51*(-L51)*O51^2/I52/L52/O52*S51</f>
        <v>-250.06052839525302</v>
      </c>
      <c r="AE52" s="378"/>
      <c r="AF52" s="378"/>
      <c r="AG52" s="54" t="str">
        <f>AG51</f>
        <v>psi</v>
      </c>
      <c r="AH52" s="54"/>
    </row>
    <row r="53" spans="1:30" ht="9.75" customHeight="1">
      <c r="A53" s="6"/>
      <c r="B53" s="6"/>
      <c r="C53" s="6"/>
      <c r="D53" s="6"/>
      <c r="E53" s="6"/>
      <c r="F53" s="416" t="s">
        <v>393</v>
      </c>
      <c r="G53" s="416"/>
      <c r="H53" s="367" t="s">
        <v>171</v>
      </c>
      <c r="I53" s="275" t="s">
        <v>196</v>
      </c>
      <c r="J53" s="275"/>
      <c r="K53" s="3"/>
      <c r="L53" s="410" t="s">
        <v>191</v>
      </c>
      <c r="M53" s="381" t="s">
        <v>201</v>
      </c>
      <c r="N53" s="381"/>
      <c r="O53" s="381"/>
      <c r="P53" s="381"/>
      <c r="Q53" s="381"/>
      <c r="R53" s="381"/>
      <c r="S53" s="381"/>
      <c r="T53" s="381"/>
      <c r="U53" s="381"/>
      <c r="V53" s="367" t="s">
        <v>199</v>
      </c>
      <c r="W53" s="3"/>
      <c r="X53" s="3"/>
      <c r="Y53" s="3"/>
      <c r="Z53" s="3"/>
      <c r="AA53" s="3"/>
      <c r="AC53" s="3"/>
      <c r="AD53" s="3"/>
    </row>
    <row r="54" spans="1:30" ht="9.75" customHeight="1">
      <c r="A54" s="6"/>
      <c r="B54" s="6"/>
      <c r="C54" s="6"/>
      <c r="D54" s="6"/>
      <c r="E54" s="6"/>
      <c r="F54" s="416"/>
      <c r="G54" s="416"/>
      <c r="H54" s="367"/>
      <c r="I54" s="227" t="s">
        <v>206</v>
      </c>
      <c r="J54" s="227"/>
      <c r="K54" s="3"/>
      <c r="L54" s="410"/>
      <c r="M54" s="381"/>
      <c r="N54" s="381"/>
      <c r="O54" s="381"/>
      <c r="P54" s="381"/>
      <c r="Q54" s="381"/>
      <c r="R54" s="381"/>
      <c r="S54" s="381"/>
      <c r="T54" s="381"/>
      <c r="U54" s="381"/>
      <c r="V54" s="367"/>
      <c r="W54" s="3"/>
      <c r="X54" s="3"/>
      <c r="Y54" s="3"/>
      <c r="Z54" s="3"/>
      <c r="AA54" s="3"/>
      <c r="AC54" s="3"/>
      <c r="AD54" s="3"/>
    </row>
    <row r="55" spans="1:34" ht="9.75" customHeight="1">
      <c r="A55" s="1"/>
      <c r="B55" s="1"/>
      <c r="C55" s="1"/>
      <c r="D55" s="1"/>
      <c r="E55" s="1"/>
      <c r="F55" s="1"/>
      <c r="G55" s="1"/>
      <c r="H55" s="367" t="s">
        <v>171</v>
      </c>
      <c r="I55" s="275">
        <f>I43</f>
        <v>-115</v>
      </c>
      <c r="J55" s="275"/>
      <c r="K55" s="21" t="s">
        <v>189</v>
      </c>
      <c r="L55" s="275">
        <f>L47</f>
        <v>-12.7</v>
      </c>
      <c r="M55" s="275"/>
      <c r="N55" s="21" t="s">
        <v>189</v>
      </c>
      <c r="O55" s="275">
        <f>O43</f>
        <v>342.9</v>
      </c>
      <c r="P55" s="275"/>
      <c r="Q55" s="1" t="s">
        <v>190</v>
      </c>
      <c r="R55" s="369" t="s">
        <v>191</v>
      </c>
      <c r="S55" s="407">
        <f>S38</f>
        <v>292.9793218936137</v>
      </c>
      <c r="T55" s="407"/>
      <c r="U55" s="407"/>
      <c r="V55" s="369" t="s">
        <v>199</v>
      </c>
      <c r="Z55" s="42" t="s">
        <v>363</v>
      </c>
      <c r="AC55" s="55" t="s">
        <v>52</v>
      </c>
      <c r="AD55" s="378">
        <f>I55*L55*O55^2/I56/L56/O56*S55</f>
        <v>6162.156977163176</v>
      </c>
      <c r="AE55" s="378"/>
      <c r="AF55" s="378"/>
      <c r="AG55" s="54" t="str">
        <f>AG51</f>
        <v>psi</v>
      </c>
      <c r="AH55" s="54"/>
    </row>
    <row r="56" spans="1:34" ht="9.75" customHeight="1">
      <c r="A56" s="1"/>
      <c r="B56" s="1"/>
      <c r="C56" s="1"/>
      <c r="D56" s="1"/>
      <c r="E56" s="1"/>
      <c r="F56" s="1"/>
      <c r="G56" s="1"/>
      <c r="H56" s="367"/>
      <c r="I56" s="227">
        <v>4</v>
      </c>
      <c r="J56" s="227"/>
      <c r="K56" s="22" t="s">
        <v>189</v>
      </c>
      <c r="L56" s="371">
        <f>L44</f>
        <v>1494.7234512592588</v>
      </c>
      <c r="M56" s="227"/>
      <c r="N56" s="22" t="s">
        <v>189</v>
      </c>
      <c r="O56" s="371">
        <f>O48</f>
        <v>1365.5886666666665</v>
      </c>
      <c r="P56" s="371"/>
      <c r="Q56" s="23"/>
      <c r="R56" s="369"/>
      <c r="S56" s="407"/>
      <c r="T56" s="407"/>
      <c r="U56" s="407"/>
      <c r="V56" s="369"/>
      <c r="W56" s="3"/>
      <c r="X56" s="3"/>
      <c r="Y56" s="3"/>
      <c r="Z56" s="42" t="s">
        <v>364</v>
      </c>
      <c r="AA56" s="3"/>
      <c r="AC56" s="55" t="s">
        <v>52</v>
      </c>
      <c r="AD56" s="378">
        <f>I55*(-L55)*O55^2/I56/L56/O56*S55</f>
        <v>-6162.156977163176</v>
      </c>
      <c r="AE56" s="378"/>
      <c r="AF56" s="378"/>
      <c r="AG56" s="54" t="str">
        <f>AG55</f>
        <v>psi</v>
      </c>
      <c r="AH56" s="54"/>
    </row>
    <row r="57" spans="1:29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AC57" s="3"/>
    </row>
    <row r="58" spans="1:37" ht="9.75" customHeight="1">
      <c r="A58" s="6"/>
      <c r="B58" s="6"/>
      <c r="C58" s="6"/>
      <c r="D58" s="9" t="s">
        <v>177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  <c r="AC58" s="3"/>
      <c r="AJ58" s="275" t="s">
        <v>566</v>
      </c>
      <c r="AK58" s="275"/>
    </row>
    <row r="59" spans="1:37" ht="9.75" customHeight="1">
      <c r="A59" s="1"/>
      <c r="B59" s="1"/>
      <c r="C59" s="1"/>
      <c r="D59" s="1"/>
      <c r="E59" s="9" t="str">
        <f>E14</f>
        <v>Short Side Plate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3"/>
      <c r="AD59" s="284">
        <v>1.5</v>
      </c>
      <c r="AE59" s="284"/>
      <c r="AF59" s="30" t="s">
        <v>178</v>
      </c>
      <c r="AJ59" s="360" t="s">
        <v>567</v>
      </c>
      <c r="AK59" s="360"/>
    </row>
    <row r="60" spans="1:49" ht="9.75" customHeight="1">
      <c r="A60" s="1"/>
      <c r="B60" s="1"/>
      <c r="C60" s="1"/>
      <c r="D60" s="1"/>
      <c r="E60" s="1"/>
      <c r="F60" s="9" t="s">
        <v>209</v>
      </c>
      <c r="G60" s="1"/>
      <c r="H60" s="1" t="s">
        <v>171</v>
      </c>
      <c r="I60" s="288" t="str">
        <f>F15</f>
        <v>Sm</v>
      </c>
      <c r="J60" s="288"/>
      <c r="K60" s="21" t="s">
        <v>176</v>
      </c>
      <c r="L60" s="288" t="str">
        <f>F32</f>
        <v>(Sb)Q</v>
      </c>
      <c r="M60" s="288"/>
      <c r="N60" s="21" t="s">
        <v>171</v>
      </c>
      <c r="O60" s="273">
        <f>Y15</f>
        <v>-1552.5</v>
      </c>
      <c r="P60" s="273"/>
      <c r="Q60" s="273"/>
      <c r="R60" s="21" t="s">
        <v>176</v>
      </c>
      <c r="S60" s="273">
        <f>AD34</f>
        <v>2560.619810767391</v>
      </c>
      <c r="T60" s="273"/>
      <c r="U60" s="273"/>
      <c r="V60" s="42" t="s">
        <v>365</v>
      </c>
      <c r="X60" s="8" t="s">
        <v>171</v>
      </c>
      <c r="Y60" s="366">
        <f>O60+S60</f>
        <v>1008.1198107673908</v>
      </c>
      <c r="Z60" s="366"/>
      <c r="AA60" s="366"/>
      <c r="AB60" s="2" t="str">
        <f>AB15</f>
        <v>psi</v>
      </c>
      <c r="AC60" s="26" t="str">
        <f>IF(ABS(Y60)&lt;=ABS(AD60),"&lt;","&gt;")</f>
        <v>&lt;</v>
      </c>
      <c r="AD60" s="365">
        <f>AD59*mas</f>
        <v>28200</v>
      </c>
      <c r="AE60" s="365"/>
      <c r="AF60" s="365"/>
      <c r="AG60" s="364" t="str">
        <f>IF(ABS(Y60)&lt;=ABS(AD60),"OK !","NO !")</f>
        <v>OK !</v>
      </c>
      <c r="AH60" s="364"/>
      <c r="AI60" s="8" t="s">
        <v>30</v>
      </c>
      <c r="AJ60" s="361">
        <f>ABS(Y60/AD60)</f>
        <v>0.035748929459836556</v>
      </c>
      <c r="AK60" s="361"/>
      <c r="AL60" s="43" t="str">
        <f>IF(AJ60&lt;&gt;AJ69,"*","M")</f>
        <v>*</v>
      </c>
      <c r="AM60" s="362">
        <f>IF(AJ60&lt;&gt;AJ69,"",E59)</f>
      </c>
      <c r="AN60" s="328"/>
      <c r="AO60" s="328"/>
      <c r="AP60" s="363"/>
      <c r="AQ60" s="362">
        <f>IF(AJ60&lt;&gt;AJ69,"",AI60)</f>
      </c>
      <c r="AR60" s="363"/>
      <c r="AS60" s="351">
        <f>IF(AJ60&lt;&gt;AJ69,"",Y60)</f>
      </c>
      <c r="AT60" s="352"/>
      <c r="AU60" s="353">
        <f>IF(AJ60&lt;&gt;AJ69,"",AD60)</f>
      </c>
      <c r="AV60" s="353"/>
      <c r="AW60" s="135">
        <f>IF(AJ60&lt;&gt;AJ69,"",AG60)</f>
      </c>
    </row>
    <row r="61" spans="1:4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1" t="s">
        <v>171</v>
      </c>
      <c r="O61" s="273">
        <f>O60</f>
        <v>-1552.5</v>
      </c>
      <c r="P61" s="273"/>
      <c r="Q61" s="273"/>
      <c r="R61" s="21" t="s">
        <v>176</v>
      </c>
      <c r="S61" s="273">
        <f>AD35</f>
        <v>-2560.619810767391</v>
      </c>
      <c r="T61" s="273"/>
      <c r="U61" s="273"/>
      <c r="V61" s="87" t="s">
        <v>366</v>
      </c>
      <c r="W61" s="3"/>
      <c r="X61" s="8" t="s">
        <v>171</v>
      </c>
      <c r="Y61" s="366">
        <f>O61+S61</f>
        <v>-4113.119810767391</v>
      </c>
      <c r="Z61" s="366"/>
      <c r="AA61" s="366"/>
      <c r="AB61" s="3" t="str">
        <f>AB60</f>
        <v>psi</v>
      </c>
      <c r="AC61" s="26" t="str">
        <f>IF(ABS(Y61)&lt;=ABS(AD61),"&lt;","&gt;")</f>
        <v>&lt;</v>
      </c>
      <c r="AD61" s="365">
        <f>AD60</f>
        <v>28200</v>
      </c>
      <c r="AE61" s="365"/>
      <c r="AF61" s="365"/>
      <c r="AG61" s="364" t="str">
        <f>IF(ABS(Y61)&lt;=ABS(AD61),"OK !","NO !")</f>
        <v>OK !</v>
      </c>
      <c r="AH61" s="364"/>
      <c r="AJ61" s="361">
        <f>ABS(Y61/AD61)</f>
        <v>0.14585531243855995</v>
      </c>
      <c r="AK61" s="361"/>
      <c r="AL61" s="43" t="str">
        <f>IF(AJ61&lt;&gt;AJ69,"*","M")</f>
        <v>*</v>
      </c>
      <c r="AM61" s="362">
        <f>IF(AJ61&lt;&gt;AJ69,"",E59)</f>
      </c>
      <c r="AN61" s="328"/>
      <c r="AO61" s="328"/>
      <c r="AP61" s="363"/>
      <c r="AQ61" s="362">
        <f>IF(AJ61&lt;&gt;AJ69,"",AI60)</f>
      </c>
      <c r="AR61" s="363"/>
      <c r="AS61" s="351">
        <f>IF(AJ61&lt;&gt;AJ69,"",Y61)</f>
      </c>
      <c r="AT61" s="352"/>
      <c r="AU61" s="353">
        <f>IF(AJ61&lt;&gt;AJ69,"",AD61)</f>
      </c>
      <c r="AV61" s="353"/>
      <c r="AW61" s="135">
        <f>IF(AJ61&lt;&gt;AJ69,"",AG61)</f>
      </c>
    </row>
    <row r="62" spans="1:49" ht="9.75" customHeight="1">
      <c r="A62" s="1"/>
      <c r="B62" s="1"/>
      <c r="C62" s="1"/>
      <c r="D62" s="1"/>
      <c r="E62" s="1"/>
      <c r="F62" s="9" t="s">
        <v>210</v>
      </c>
      <c r="G62" s="1"/>
      <c r="H62" s="1" t="s">
        <v>171</v>
      </c>
      <c r="I62" s="288" t="str">
        <f>F15</f>
        <v>Sm</v>
      </c>
      <c r="J62" s="288"/>
      <c r="K62" s="21" t="s">
        <v>176</v>
      </c>
      <c r="L62" s="288" t="str">
        <f>F36</f>
        <v>(Sb)Q1</v>
      </c>
      <c r="M62" s="288"/>
      <c r="N62" s="21" t="s">
        <v>171</v>
      </c>
      <c r="O62" s="273">
        <f>O60</f>
        <v>-1552.5</v>
      </c>
      <c r="P62" s="273"/>
      <c r="Q62" s="273"/>
      <c r="R62" s="21" t="s">
        <v>176</v>
      </c>
      <c r="S62" s="273">
        <f>AD38</f>
        <v>15775.12186153773</v>
      </c>
      <c r="T62" s="273"/>
      <c r="U62" s="273"/>
      <c r="V62" s="42" t="s">
        <v>365</v>
      </c>
      <c r="X62" s="8" t="s">
        <v>171</v>
      </c>
      <c r="Y62" s="366">
        <f>O62+S62</f>
        <v>14222.62186153773</v>
      </c>
      <c r="Z62" s="366"/>
      <c r="AA62" s="366"/>
      <c r="AB62" s="2" t="str">
        <f>AB60</f>
        <v>psi</v>
      </c>
      <c r="AC62" s="26" t="str">
        <f>IF(ABS(Y62)&lt;=ABS(AD62),"&lt;","&gt;")</f>
        <v>&lt;</v>
      </c>
      <c r="AD62" s="365">
        <f>AD59*mas</f>
        <v>28200</v>
      </c>
      <c r="AE62" s="365"/>
      <c r="AF62" s="365"/>
      <c r="AG62" s="364" t="str">
        <f>IF(ABS(Y62)&lt;=ABS(AD62),"OK !","NO !")</f>
        <v>OK !</v>
      </c>
      <c r="AH62" s="364"/>
      <c r="AI62" s="8" t="s">
        <v>34</v>
      </c>
      <c r="AJ62" s="361">
        <f>ABS(Y62/AD62)</f>
        <v>0.5043482929623309</v>
      </c>
      <c r="AK62" s="361"/>
      <c r="AL62" s="43" t="str">
        <f>IF(AJ62&lt;&gt;AJ69,"*","M")</f>
        <v>*</v>
      </c>
      <c r="AM62" s="362">
        <f>IF(AJ62&lt;&gt;AJ69,"",E59)</f>
      </c>
      <c r="AN62" s="328"/>
      <c r="AO62" s="328"/>
      <c r="AP62" s="363"/>
      <c r="AQ62" s="43">
        <f>IF(AJ62&lt;&gt;AJ69,"",AI62)</f>
      </c>
      <c r="AR62" s="43"/>
      <c r="AS62" s="351">
        <f>IF(AJ62&lt;&gt;AJ69,"",Y62)</f>
      </c>
      <c r="AT62" s="352"/>
      <c r="AU62" s="353">
        <f>IF(AJ62&lt;&gt;AJ69,"",AD62)</f>
      </c>
      <c r="AV62" s="353"/>
      <c r="AW62" s="135">
        <f>IF(AJ62&lt;&gt;AJ69,"",AG62)</f>
      </c>
    </row>
    <row r="63" spans="1:49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1" t="s">
        <v>171</v>
      </c>
      <c r="O63" s="273">
        <f>O62</f>
        <v>-1552.5</v>
      </c>
      <c r="P63" s="273"/>
      <c r="Q63" s="273"/>
      <c r="R63" s="21" t="s">
        <v>176</v>
      </c>
      <c r="S63" s="273">
        <f>AD39</f>
        <v>-15775.12186153773</v>
      </c>
      <c r="T63" s="273"/>
      <c r="U63" s="273"/>
      <c r="V63" s="87" t="s">
        <v>366</v>
      </c>
      <c r="W63" s="3"/>
      <c r="X63" s="8" t="s">
        <v>171</v>
      </c>
      <c r="Y63" s="366">
        <f>O63+S63</f>
        <v>-17327.62186153773</v>
      </c>
      <c r="Z63" s="366"/>
      <c r="AA63" s="366"/>
      <c r="AB63" s="3" t="str">
        <f>AB62</f>
        <v>psi</v>
      </c>
      <c r="AC63" s="26" t="str">
        <f>IF(ABS(Y63)&lt;=ABS(AD63),"&lt;","&gt;")</f>
        <v>&lt;</v>
      </c>
      <c r="AD63" s="365">
        <f>AD62</f>
        <v>28200</v>
      </c>
      <c r="AE63" s="365"/>
      <c r="AF63" s="365"/>
      <c r="AG63" s="364" t="str">
        <f>IF(ABS(Y63)&lt;=ABS(AD63),"OK !","NO !")</f>
        <v>OK !</v>
      </c>
      <c r="AH63" s="364"/>
      <c r="AJ63" s="361">
        <f>ABS(Y63/AD63)</f>
        <v>0.6144546759410542</v>
      </c>
      <c r="AK63" s="361"/>
      <c r="AL63" s="43" t="str">
        <f>IF(AJ63&lt;&gt;AJ69,"*","M")</f>
        <v>M</v>
      </c>
      <c r="AM63" s="362" t="str">
        <f>IF(AJ63&lt;&gt;AJ69,"",E59)</f>
        <v>Short Side Plate</v>
      </c>
      <c r="AN63" s="328"/>
      <c r="AO63" s="328"/>
      <c r="AP63" s="363"/>
      <c r="AQ63" s="362" t="str">
        <f>IF(AJ63&lt;&gt;AJ69,"",AI62)</f>
        <v>Q1</v>
      </c>
      <c r="AR63" s="363"/>
      <c r="AS63" s="357">
        <f>IF(AJ63&lt;&gt;AJ69,"",Y63)</f>
        <v>-17327.62186153773</v>
      </c>
      <c r="AT63" s="358"/>
      <c r="AU63" s="357">
        <f>IF(AJ63&lt;&gt;AJ69,"",AD63)</f>
        <v>28200</v>
      </c>
      <c r="AV63" s="359"/>
      <c r="AW63" s="135" t="str">
        <f>IF(AJ63&lt;&gt;AJ69,"",AG63)</f>
        <v>OK !</v>
      </c>
    </row>
    <row r="64" spans="1:49" ht="9.75" customHeight="1">
      <c r="A64" s="6"/>
      <c r="B64" s="6"/>
      <c r="C64" s="6"/>
      <c r="D64" s="6"/>
      <c r="E64" s="9" t="str">
        <f>E17</f>
        <v>Long Side Plate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3"/>
      <c r="W64" s="3"/>
      <c r="X64" s="3"/>
      <c r="AC64" s="3"/>
      <c r="AD64" s="3"/>
      <c r="AE64" s="3"/>
      <c r="AF64" s="3"/>
      <c r="AM64" s="133"/>
      <c r="AN64" s="1"/>
      <c r="AO64" s="1"/>
      <c r="AP64" s="134"/>
      <c r="AS64" s="133"/>
      <c r="AT64" s="134"/>
      <c r="AW64" s="133"/>
    </row>
    <row r="65" spans="1:49" ht="9.75" customHeight="1">
      <c r="A65" s="6"/>
      <c r="B65" s="6"/>
      <c r="C65" s="6"/>
      <c r="D65" s="6"/>
      <c r="E65" s="6"/>
      <c r="F65" s="9" t="s">
        <v>179</v>
      </c>
      <c r="G65" s="1"/>
      <c r="H65" s="1" t="s">
        <v>171</v>
      </c>
      <c r="I65" s="288" t="str">
        <f>F25</f>
        <v>Smt22</v>
      </c>
      <c r="J65" s="288"/>
      <c r="K65" s="21" t="s">
        <v>176</v>
      </c>
      <c r="L65" s="288" t="str">
        <f>F41</f>
        <v>(Sb)M</v>
      </c>
      <c r="M65" s="288"/>
      <c r="N65" s="21" t="s">
        <v>171</v>
      </c>
      <c r="O65" s="273">
        <f>Z27</f>
        <v>-168.0112300096721</v>
      </c>
      <c r="P65" s="273"/>
      <c r="Q65" s="273"/>
      <c r="R65" s="21" t="s">
        <v>176</v>
      </c>
      <c r="S65" s="273">
        <f>AE43</f>
        <v>-6132.841827674578</v>
      </c>
      <c r="T65" s="273"/>
      <c r="U65" s="273"/>
      <c r="V65" s="42" t="s">
        <v>365</v>
      </c>
      <c r="X65" s="8" t="s">
        <v>171</v>
      </c>
      <c r="Y65" s="366">
        <f>O65+S65</f>
        <v>-6300.8530576842495</v>
      </c>
      <c r="Z65" s="366"/>
      <c r="AA65" s="366"/>
      <c r="AB65" s="2" t="str">
        <f>AH43</f>
        <v>psi</v>
      </c>
      <c r="AC65" s="26" t="str">
        <f>IF(ABS(Y65)&lt;=ABS(AD65),"&lt;","&gt;")</f>
        <v>&lt;</v>
      </c>
      <c r="AD65" s="365">
        <f>AD59*mas</f>
        <v>28200</v>
      </c>
      <c r="AE65" s="365"/>
      <c r="AF65" s="365"/>
      <c r="AG65" s="364" t="str">
        <f>IF(ABS(Y65)&lt;=ABS(AD65),"OK !","NO !")</f>
        <v>OK !</v>
      </c>
      <c r="AH65" s="364"/>
      <c r="AI65" s="8" t="s">
        <v>580</v>
      </c>
      <c r="AJ65" s="361">
        <f>ABS(Y65/AD65)</f>
        <v>0.22343450559164005</v>
      </c>
      <c r="AK65" s="361"/>
      <c r="AL65" s="43" t="str">
        <f>IF(AJ65&lt;&gt;AJ69,"*","M")</f>
        <v>*</v>
      </c>
      <c r="AM65" s="362">
        <f>IF(AJ65&lt;&gt;AJ69,"",E64)</f>
      </c>
      <c r="AN65" s="328"/>
      <c r="AO65" s="328"/>
      <c r="AP65" s="363"/>
      <c r="AQ65" s="362">
        <f>IF(AJ65&lt;&gt;AJ69,"",AI65)</f>
      </c>
      <c r="AR65" s="363"/>
      <c r="AS65" s="351">
        <f>IF(AJ65&lt;&gt;AJ69,"",Y65)</f>
      </c>
      <c r="AT65" s="352"/>
      <c r="AU65" s="353">
        <f>IF(AJ65&lt;&gt;AJ69,"",AD65)</f>
      </c>
      <c r="AV65" s="353"/>
      <c r="AW65" s="135">
        <f>IF(AJ65&lt;&gt;AJ69,"",AG65)</f>
      </c>
    </row>
    <row r="66" spans="1:49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1" t="s">
        <v>171</v>
      </c>
      <c r="O66" s="273">
        <f>O65</f>
        <v>-168.0112300096721</v>
      </c>
      <c r="P66" s="273"/>
      <c r="Q66" s="273"/>
      <c r="R66" s="21" t="s">
        <v>176</v>
      </c>
      <c r="S66" s="273">
        <f>AE44</f>
        <v>6132.841827674578</v>
      </c>
      <c r="T66" s="273"/>
      <c r="U66" s="273"/>
      <c r="V66" s="87" t="s">
        <v>366</v>
      </c>
      <c r="W66" s="3"/>
      <c r="X66" s="8" t="s">
        <v>171</v>
      </c>
      <c r="Y66" s="366">
        <f>O66+S66</f>
        <v>5964.830597664906</v>
      </c>
      <c r="Z66" s="366"/>
      <c r="AA66" s="366"/>
      <c r="AB66" s="3" t="str">
        <f>AB65</f>
        <v>psi</v>
      </c>
      <c r="AC66" s="26" t="str">
        <f>IF(ABS(Y66)&lt;=ABS(AD66),"&lt;","&gt;")</f>
        <v>&lt;</v>
      </c>
      <c r="AD66" s="365">
        <f>AD65</f>
        <v>28200</v>
      </c>
      <c r="AE66" s="365"/>
      <c r="AF66" s="365"/>
      <c r="AG66" s="364" t="str">
        <f>IF(ABS(Y66)&lt;=ABS(AD66),"OK !","NO !")</f>
        <v>OK !</v>
      </c>
      <c r="AH66" s="364"/>
      <c r="AJ66" s="361">
        <f>ABS(Y66/AD66)</f>
        <v>0.21151881552003213</v>
      </c>
      <c r="AK66" s="361"/>
      <c r="AL66" s="43" t="str">
        <f>IF(AJ66&lt;&gt;AJ69,"*","M")</f>
        <v>*</v>
      </c>
      <c r="AM66" s="362">
        <f>IF(AJ66&lt;&gt;AJ69,"",E64)</f>
      </c>
      <c r="AN66" s="328"/>
      <c r="AO66" s="328"/>
      <c r="AP66" s="363"/>
      <c r="AQ66" s="362">
        <f>IF(AJ66&lt;&gt;AJ69,"",AI65)</f>
      </c>
      <c r="AR66" s="363"/>
      <c r="AS66" s="351">
        <f>IF(AJ66&lt;&gt;AJ69,"",Y66)</f>
      </c>
      <c r="AT66" s="352"/>
      <c r="AU66" s="353">
        <f>IF(AJ66&lt;&gt;AJ69,"",AD66)</f>
      </c>
      <c r="AV66" s="353"/>
      <c r="AW66" s="135">
        <f>IF(AJ66&lt;&gt;AJ69,"",AG66)</f>
      </c>
    </row>
    <row r="67" spans="1:49" ht="9.75" customHeight="1">
      <c r="A67" s="6"/>
      <c r="B67" s="6"/>
      <c r="C67" s="6"/>
      <c r="D67" s="6"/>
      <c r="E67" s="6"/>
      <c r="F67" s="9" t="s">
        <v>211</v>
      </c>
      <c r="G67" s="1"/>
      <c r="H67" s="1" t="s">
        <v>171</v>
      </c>
      <c r="I67" s="288" t="str">
        <f>F21</f>
        <v>Smt2</v>
      </c>
      <c r="J67" s="288"/>
      <c r="K67" s="21" t="s">
        <v>176</v>
      </c>
      <c r="L67" s="288" t="str">
        <f>F45</f>
        <v>(Sb)M1</v>
      </c>
      <c r="M67" s="288"/>
      <c r="N67" s="21" t="s">
        <v>171</v>
      </c>
      <c r="O67" s="273">
        <f>Z23</f>
        <v>-488.3865239883935</v>
      </c>
      <c r="P67" s="273"/>
      <c r="Q67" s="273"/>
      <c r="R67" s="21" t="s">
        <v>176</v>
      </c>
      <c r="S67" s="273">
        <f>AE47</f>
        <v>-9556.905522836823</v>
      </c>
      <c r="T67" s="275"/>
      <c r="U67" s="275"/>
      <c r="V67" s="42" t="s">
        <v>365</v>
      </c>
      <c r="X67" s="8" t="s">
        <v>171</v>
      </c>
      <c r="Y67" s="366">
        <f>O67+S67</f>
        <v>-10045.292046825216</v>
      </c>
      <c r="Z67" s="366"/>
      <c r="AA67" s="366"/>
      <c r="AB67" s="2" t="str">
        <f>AB65</f>
        <v>psi</v>
      </c>
      <c r="AC67" s="26" t="str">
        <f>IF(ABS(Y67)&lt;=ABS(AD67),"&lt;","&gt;")</f>
        <v>&lt;</v>
      </c>
      <c r="AD67" s="365">
        <f>AD65</f>
        <v>28200</v>
      </c>
      <c r="AE67" s="365"/>
      <c r="AF67" s="365"/>
      <c r="AG67" s="364" t="str">
        <f>IF(ABS(Y67)&lt;=ABS(AD67),"OK !","NO !")</f>
        <v>OK !</v>
      </c>
      <c r="AH67" s="364"/>
      <c r="AI67" s="8" t="s">
        <v>582</v>
      </c>
      <c r="AJ67" s="361">
        <f>ABS(Y67/AD67)</f>
        <v>0.356216030029263</v>
      </c>
      <c r="AK67" s="361"/>
      <c r="AL67" s="43" t="str">
        <f>IF(AJ67&lt;&gt;AJ69,"*","M")</f>
        <v>*</v>
      </c>
      <c r="AM67" s="362">
        <f>IF(AJ67&lt;&gt;AJ69,"",E64)</f>
      </c>
      <c r="AN67" s="328"/>
      <c r="AO67" s="328"/>
      <c r="AP67" s="363"/>
      <c r="AQ67" s="362">
        <f>IF(AJ67&lt;&gt;AJ69,"",AI67)</f>
      </c>
      <c r="AR67" s="363"/>
      <c r="AS67" s="351">
        <f>IF(AJ67&lt;&gt;AJ69,"",Y67)</f>
      </c>
      <c r="AT67" s="352"/>
      <c r="AU67" s="353">
        <f>IF(AJ67&lt;&gt;AJ69,"",AD67)</f>
      </c>
      <c r="AV67" s="353"/>
      <c r="AW67" s="135">
        <f>IF(AJ67&lt;&gt;AJ69,"",AG67)</f>
      </c>
    </row>
    <row r="68" spans="1:49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1" t="s">
        <v>171</v>
      </c>
      <c r="O68" s="273">
        <f>O67</f>
        <v>-488.3865239883935</v>
      </c>
      <c r="P68" s="273"/>
      <c r="Q68" s="273"/>
      <c r="R68" s="21" t="s">
        <v>176</v>
      </c>
      <c r="S68" s="273">
        <f>AE48</f>
        <v>9556.905522836823</v>
      </c>
      <c r="T68" s="275"/>
      <c r="U68" s="275"/>
      <c r="V68" s="87" t="s">
        <v>366</v>
      </c>
      <c r="W68" s="3"/>
      <c r="X68" s="8" t="s">
        <v>171</v>
      </c>
      <c r="Y68" s="366">
        <f>O68+S68</f>
        <v>9068.51899884843</v>
      </c>
      <c r="Z68" s="366"/>
      <c r="AA68" s="366"/>
      <c r="AB68" s="2" t="str">
        <f>AB67</f>
        <v>psi</v>
      </c>
      <c r="AC68" s="26" t="str">
        <f>IF(ABS(Y68)&lt;=ABS(AD68),"&lt;","&gt;")</f>
        <v>&lt;</v>
      </c>
      <c r="AD68" s="365">
        <f>AD67</f>
        <v>28200</v>
      </c>
      <c r="AE68" s="365"/>
      <c r="AF68" s="365"/>
      <c r="AG68" s="364" t="str">
        <f>IF(ABS(Y68)&lt;=ABS(AD68),"OK !","NO !")</f>
        <v>OK !</v>
      </c>
      <c r="AH68" s="364"/>
      <c r="AI68" s="8"/>
      <c r="AJ68" s="361">
        <f>ABS(Y68/AD68)</f>
        <v>0.3215786879024266</v>
      </c>
      <c r="AK68" s="361"/>
      <c r="AL68" s="130" t="str">
        <f>IF(AJ68&lt;&gt;AJ69,"*","M")</f>
        <v>*</v>
      </c>
      <c r="AM68" s="379">
        <f>IF(AJ68&lt;&gt;AJ69,"",E64)</f>
      </c>
      <c r="AN68" s="197"/>
      <c r="AO68" s="197"/>
      <c r="AP68" s="380"/>
      <c r="AQ68" s="379">
        <f>IF(AJ68&lt;&gt;AJ69,"",AI67)</f>
      </c>
      <c r="AR68" s="380"/>
      <c r="AS68" s="354">
        <f>IF(AJ68&lt;&gt;AJ69,"",Y68)</f>
      </c>
      <c r="AT68" s="355"/>
      <c r="AU68" s="356">
        <f>IF(AJ68&lt;&gt;AJ69,"",AD68)</f>
      </c>
      <c r="AV68" s="356"/>
      <c r="AW68" s="136">
        <f>IF(AJ68&lt;&gt;AJ69,"",AG68)</f>
      </c>
    </row>
    <row r="69" spans="1:49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3"/>
      <c r="W69" s="3"/>
      <c r="X69" s="3"/>
      <c r="AB69" s="3"/>
      <c r="AC69" s="3"/>
      <c r="AD69" s="3"/>
      <c r="AE69" s="3"/>
      <c r="AF69" s="3"/>
      <c r="AI69" s="8" t="s">
        <v>583</v>
      </c>
      <c r="AJ69" s="274">
        <f>MAX(AJ60,AJ61,AJ62,AJ63,AJ65,AJ66,AJ67,AJ68)</f>
        <v>0.6144546759410542</v>
      </c>
      <c r="AK69" s="275"/>
      <c r="AL69" s="2" t="s">
        <v>604</v>
      </c>
      <c r="AM69" s="304" t="str">
        <f>IF(AL60="M",AM60,IF(AL61="M",AM61,IF(AL62="M",AM62,IF(AL63="M",AM63,IF(AL65="M",AM65,IF(AL66="M",AM66,IF(AL67="M",AM67,IF(AL68="M",AM68))))))))</f>
        <v>Short Side Plate</v>
      </c>
      <c r="AN69" s="304"/>
      <c r="AO69" s="304"/>
      <c r="AP69" s="304"/>
      <c r="AQ69" s="304" t="str">
        <f>IF(AL60="M",AQ60,IF(AL61="M",AQ61,IF(AL62="M",AQ62,IF(AL63="M",AQ63,IF(AL65="M",AQ65,IF(AL66="M",AQ66,IF(AL67="M",AQ67,IF(AL68="M",AQ68))))))))</f>
        <v>Q1</v>
      </c>
      <c r="AR69" s="304"/>
      <c r="AS69" s="350">
        <f>IF(AL60="M",AS60,IF(AL61="M",AS61,IF(AL62="M",AS62,IF(AL63="M",AS63,IF(AL65="M",AS65,IF(AL66="M",AS66,IF(AL67="M",AS67,IF(AL68="M",AS68))))))))</f>
        <v>-17327.62186153773</v>
      </c>
      <c r="AT69" s="350"/>
      <c r="AU69" s="350">
        <f>IF(AL60="M",AU60,IF(AL61="M",AU61,IF(AL62="M",AU62,IF(AL63="M",AU63,IF(AL65="M",AU65,IF(AL66="M",AU66,IF(AL67="M",AU67,IF(AL68="M",AU68))))))))</f>
        <v>28200</v>
      </c>
      <c r="AV69" s="350"/>
      <c r="AW69" s="2" t="str">
        <f>IF(AL60="M",AW60,IF(AL61="M",AW61,IF(AL62="M",AW62,IF(AL63="M",AW63,IF(AL65="M",AW65,IF(AL66="M",AW66,IF(AL67="M",AW67,IF(AL68="M",AW68))))))))</f>
        <v>OK !</v>
      </c>
    </row>
    <row r="70" spans="1:49" ht="9.75" customHeight="1">
      <c r="A70" s="1"/>
      <c r="B70" s="1"/>
      <c r="C70" s="1"/>
      <c r="D70" s="1"/>
      <c r="E70" s="1"/>
      <c r="F70" s="9" t="s">
        <v>213</v>
      </c>
      <c r="G70" s="1"/>
      <c r="H70" s="1" t="s">
        <v>171</v>
      </c>
      <c r="I70" s="288" t="str">
        <f>F25</f>
        <v>Smt22</v>
      </c>
      <c r="J70" s="288"/>
      <c r="K70" s="21" t="s">
        <v>176</v>
      </c>
      <c r="L70" s="288" t="str">
        <f>F49</f>
        <v>(Sb)QL</v>
      </c>
      <c r="M70" s="288"/>
      <c r="N70" s="21" t="s">
        <v>171</v>
      </c>
      <c r="O70" s="273">
        <f>O65</f>
        <v>-168.0112300096721</v>
      </c>
      <c r="P70" s="273"/>
      <c r="Q70" s="273"/>
      <c r="R70" s="21" t="s">
        <v>176</v>
      </c>
      <c r="S70" s="273">
        <f>AD51</f>
        <v>250.06052839525302</v>
      </c>
      <c r="T70" s="273"/>
      <c r="U70" s="273"/>
      <c r="V70" s="42" t="s">
        <v>365</v>
      </c>
      <c r="X70" s="8" t="s">
        <v>171</v>
      </c>
      <c r="Y70" s="366">
        <f>O70+S70</f>
        <v>82.04929838558093</v>
      </c>
      <c r="Z70" s="366"/>
      <c r="AA70" s="366"/>
      <c r="AB70" s="2" t="str">
        <f>AB65</f>
        <v>psi</v>
      </c>
      <c r="AC70" s="26" t="str">
        <f>IF(ABS(Y70)&lt;=ABS(AD70),"&lt;","&gt;")</f>
        <v>&lt;</v>
      </c>
      <c r="AD70" s="365">
        <f>AD59*mas</f>
        <v>28200</v>
      </c>
      <c r="AE70" s="365"/>
      <c r="AF70" s="365"/>
      <c r="AG70" s="364" t="str">
        <f>IF(ABS(Y70)&lt;=ABS(AD70),"OK !","NO !")</f>
        <v>OK !</v>
      </c>
      <c r="AH70" s="364"/>
      <c r="AI70" s="8" t="s">
        <v>30</v>
      </c>
      <c r="AJ70" s="361">
        <f>ABS(Y70/AD70)</f>
        <v>0.0029095495881411677</v>
      </c>
      <c r="AK70" s="361"/>
      <c r="AL70" s="49" t="str">
        <f>IF(AJ70&lt;&gt;AJ74,"*","M")</f>
        <v>*</v>
      </c>
      <c r="AM70" s="418">
        <f>IF(AJ70&lt;&gt;AJ74,"",E64)</f>
      </c>
      <c r="AN70" s="229"/>
      <c r="AO70" s="229"/>
      <c r="AP70" s="419"/>
      <c r="AQ70" s="418">
        <f>IF(AJ70&lt;&gt;AJ74,"",AI70)</f>
      </c>
      <c r="AR70" s="419"/>
      <c r="AS70" s="420">
        <f>IF(AJ70&lt;&gt;AJ74,"",Y70)</f>
      </c>
      <c r="AT70" s="421"/>
      <c r="AU70" s="422">
        <f>IF(AJ70&lt;&gt;AJ74,"",AD70)</f>
      </c>
      <c r="AV70" s="422"/>
      <c r="AW70" s="144">
        <f>IF(AJ70&lt;&gt;AJ74,"",AG70)</f>
      </c>
    </row>
    <row r="71" spans="1:4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1" t="s">
        <v>171</v>
      </c>
      <c r="O71" s="273">
        <f>O70</f>
        <v>-168.0112300096721</v>
      </c>
      <c r="P71" s="273"/>
      <c r="Q71" s="273"/>
      <c r="R71" s="21" t="s">
        <v>176</v>
      </c>
      <c r="S71" s="273">
        <f>AD52</f>
        <v>-250.06052839525302</v>
      </c>
      <c r="T71" s="273"/>
      <c r="U71" s="273"/>
      <c r="V71" s="87" t="s">
        <v>366</v>
      </c>
      <c r="W71" s="3"/>
      <c r="X71" s="8" t="s">
        <v>171</v>
      </c>
      <c r="Y71" s="366">
        <f>O71+S71</f>
        <v>-418.0717584049251</v>
      </c>
      <c r="Z71" s="366"/>
      <c r="AA71" s="366"/>
      <c r="AB71" s="3" t="str">
        <f>AB70</f>
        <v>psi</v>
      </c>
      <c r="AC71" s="26" t="str">
        <f>IF(ABS(Y71)&lt;=ABS(AD71),"&lt;","&gt;")</f>
        <v>&lt;</v>
      </c>
      <c r="AD71" s="365">
        <f>AD70</f>
        <v>28200</v>
      </c>
      <c r="AE71" s="365"/>
      <c r="AF71" s="365"/>
      <c r="AG71" s="364" t="str">
        <f>IF(ABS(Y71)&lt;=ABS(AD71),"OK !","NO !")</f>
        <v>OK !</v>
      </c>
      <c r="AH71" s="364"/>
      <c r="AJ71" s="361">
        <f>ABS(Y71/AD71)</f>
        <v>0.014825239659749117</v>
      </c>
      <c r="AK71" s="361"/>
      <c r="AL71" s="43" t="str">
        <f>IF(AJ71&lt;&gt;AJ74,"*","M")</f>
        <v>*</v>
      </c>
      <c r="AM71" s="362">
        <f>IF(AJ71&lt;&gt;AJ74,"",E64)</f>
      </c>
      <c r="AN71" s="328"/>
      <c r="AO71" s="328"/>
      <c r="AP71" s="363"/>
      <c r="AQ71" s="362">
        <f>IF(AJ71&lt;&gt;AJ74,"",AI70)</f>
      </c>
      <c r="AR71" s="363"/>
      <c r="AS71" s="351">
        <f>IF(AJ71&lt;&gt;AJ74,"",Y71)</f>
      </c>
      <c r="AT71" s="352"/>
      <c r="AU71" s="353">
        <f>IF(AJ71&lt;&gt;AJ74,"",AD71)</f>
      </c>
      <c r="AV71" s="353"/>
      <c r="AW71" s="135">
        <f>IF(AJ71&lt;&gt;AJ74,"",AG71)</f>
      </c>
    </row>
    <row r="72" spans="1:49" ht="9.75" customHeight="1">
      <c r="A72" s="1"/>
      <c r="B72" s="1"/>
      <c r="C72" s="1"/>
      <c r="D72" s="1"/>
      <c r="E72" s="1"/>
      <c r="F72" s="9" t="s">
        <v>212</v>
      </c>
      <c r="G72" s="1"/>
      <c r="H72" s="1" t="s">
        <v>171</v>
      </c>
      <c r="I72" s="288" t="str">
        <f>F21</f>
        <v>Smt2</v>
      </c>
      <c r="J72" s="288"/>
      <c r="K72" s="21" t="s">
        <v>176</v>
      </c>
      <c r="L72" s="288" t="str">
        <f>F53</f>
        <v>(Sb)Q1L</v>
      </c>
      <c r="M72" s="288"/>
      <c r="N72" s="21" t="s">
        <v>171</v>
      </c>
      <c r="O72" s="273">
        <f>O67</f>
        <v>-488.3865239883935</v>
      </c>
      <c r="P72" s="273"/>
      <c r="Q72" s="273"/>
      <c r="R72" s="21" t="s">
        <v>176</v>
      </c>
      <c r="S72" s="273">
        <f>AD55</f>
        <v>6162.156977163176</v>
      </c>
      <c r="T72" s="273"/>
      <c r="U72" s="273"/>
      <c r="V72" s="42" t="s">
        <v>365</v>
      </c>
      <c r="X72" s="8" t="s">
        <v>171</v>
      </c>
      <c r="Y72" s="366">
        <f>O72+S72</f>
        <v>5673.770453174782</v>
      </c>
      <c r="Z72" s="366"/>
      <c r="AA72" s="366"/>
      <c r="AB72" s="2" t="str">
        <f>AB65</f>
        <v>psi</v>
      </c>
      <c r="AC72" s="26" t="str">
        <f>IF(ABS(Y72)&lt;=ABS(AD72),"&lt;","&gt;")</f>
        <v>&lt;</v>
      </c>
      <c r="AD72" s="365">
        <f>AD70</f>
        <v>28200</v>
      </c>
      <c r="AE72" s="365"/>
      <c r="AF72" s="365"/>
      <c r="AG72" s="364" t="str">
        <f>IF(ABS(Y72)&lt;=ABS(AD72),"OK !","NO !")</f>
        <v>OK !</v>
      </c>
      <c r="AH72" s="364"/>
      <c r="AI72" s="8" t="s">
        <v>34</v>
      </c>
      <c r="AJ72" s="361">
        <f>ABS(Y72/AD72)</f>
        <v>0.2011975338005242</v>
      </c>
      <c r="AK72" s="361"/>
      <c r="AL72" s="43" t="str">
        <f>IF(AJ72&lt;&gt;AJ74,"*","M")</f>
        <v>*</v>
      </c>
      <c r="AM72" s="362">
        <f>IF(AJ72&lt;&gt;AJ74,"",E64)</f>
      </c>
      <c r="AN72" s="328"/>
      <c r="AO72" s="328"/>
      <c r="AP72" s="363"/>
      <c r="AQ72" s="362">
        <f>IF(AJ72&lt;&gt;AJ74,"",AI72)</f>
      </c>
      <c r="AR72" s="363"/>
      <c r="AS72" s="351">
        <f>IF(AJ72&lt;&gt;AJ74,"",Y72)</f>
      </c>
      <c r="AT72" s="352"/>
      <c r="AU72" s="353">
        <f>IF(AJ72&lt;&gt;AJ74,"",AD72)</f>
      </c>
      <c r="AV72" s="353"/>
      <c r="AW72" s="135">
        <f>IF(AJ72&lt;&gt;AJ74,"",AG72)</f>
      </c>
    </row>
    <row r="73" spans="1:49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1" t="s">
        <v>171</v>
      </c>
      <c r="O73" s="273">
        <f>O72</f>
        <v>-488.3865239883935</v>
      </c>
      <c r="P73" s="273"/>
      <c r="Q73" s="273"/>
      <c r="R73" s="21" t="s">
        <v>176</v>
      </c>
      <c r="S73" s="273">
        <f>AD56</f>
        <v>-6162.156977163176</v>
      </c>
      <c r="T73" s="273"/>
      <c r="U73" s="273"/>
      <c r="V73" s="87" t="s">
        <v>366</v>
      </c>
      <c r="W73" s="3"/>
      <c r="X73" s="8" t="s">
        <v>171</v>
      </c>
      <c r="Y73" s="366">
        <f>O73+S73</f>
        <v>-6650.543501151569</v>
      </c>
      <c r="Z73" s="366"/>
      <c r="AA73" s="366"/>
      <c r="AB73" s="3" t="str">
        <f>AB72</f>
        <v>psi</v>
      </c>
      <c r="AC73" s="26" t="str">
        <f>IF(ABS(Y73)&lt;=ABS(AD73),"&lt;","&gt;")</f>
        <v>&lt;</v>
      </c>
      <c r="AD73" s="365">
        <f>AD72</f>
        <v>28200</v>
      </c>
      <c r="AE73" s="365"/>
      <c r="AF73" s="365"/>
      <c r="AG73" s="364" t="str">
        <f>IF(ABS(Y73)&lt;=ABS(AD73),"OK !","NO !")</f>
        <v>OK !</v>
      </c>
      <c r="AH73" s="364"/>
      <c r="AI73" s="8"/>
      <c r="AJ73" s="361">
        <f>ABS(Y73/AD73)</f>
        <v>0.2358348759273606</v>
      </c>
      <c r="AK73" s="361"/>
      <c r="AL73" s="130" t="str">
        <f>IF(AJ73&lt;&gt;AJ74,"*","M")</f>
        <v>*</v>
      </c>
      <c r="AM73" s="379">
        <f>IF(AJ73&lt;&gt;AJ74,"",E64)</f>
      </c>
      <c r="AN73" s="197"/>
      <c r="AO73" s="197"/>
      <c r="AP73" s="380"/>
      <c r="AQ73" s="379">
        <f>IF(AJ73&lt;&gt;AJ74,"",AI72)</f>
      </c>
      <c r="AR73" s="380"/>
      <c r="AS73" s="354">
        <f>IF(AJ73&lt;&gt;AJ74,"",Y73)</f>
      </c>
      <c r="AT73" s="355"/>
      <c r="AU73" s="356">
        <f>IF(AJ73&lt;&gt;AJ74,"",AD73)</f>
      </c>
      <c r="AV73" s="356"/>
      <c r="AW73" s="136">
        <f>IF(AJ73&lt;&gt;AJ74,"",AG73)</f>
      </c>
    </row>
    <row r="74" spans="1:49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AB74" s="3"/>
      <c r="AC74" s="3"/>
      <c r="AD74" s="3"/>
      <c r="AE74" s="3"/>
      <c r="AF74" s="3"/>
      <c r="AI74" s="8" t="s">
        <v>583</v>
      </c>
      <c r="AJ74" s="274">
        <f>MAX(AJ69:AK73)</f>
        <v>0.6144546759410542</v>
      </c>
      <c r="AK74" s="275"/>
      <c r="AM74" s="304" t="str">
        <f>IF(AL69="M",AM69,IF(AL70="M",AM70,IF(AL71="M",AM71,IF(AL72="M",AM72,IF(AL73="M",AM73)))))</f>
        <v>Short Side Plate</v>
      </c>
      <c r="AN74" s="304"/>
      <c r="AO74" s="304"/>
      <c r="AP74" s="304"/>
      <c r="AQ74" s="304" t="str">
        <f>IF(AL69="M",AQ69,IF(AL70="M",AQ70,IF(AL71="M",AQ71,IF(AL72="M",AQ72,IF(AL73="M",AQ73)))))</f>
        <v>Q1</v>
      </c>
      <c r="AR74" s="304"/>
      <c r="AS74" s="350">
        <f>IF(AL69="M",AS69,IF(AL70="M",AS70,IF(AL71="M",AS71,IF(AL72="M",AS72,IF(AL73="M",AS73)))))</f>
        <v>-17327.62186153773</v>
      </c>
      <c r="AT74" s="350"/>
      <c r="AU74" s="350">
        <f>IF(AL69="M",AU69,IF(AL70="M",AU70,IF(AL71="M",AU71,IF(AL72="M",AU72,IF(AL73="M",AU73)))))</f>
        <v>28200</v>
      </c>
      <c r="AV74" s="350"/>
      <c r="AW74" s="2" t="str">
        <f>IF(AL69="M",AW69,IF(AL70="M",AW70,IF(AL71="M",AW71,IF(AL72="M",AW72,IF(AL73="M",AW73)))))</f>
        <v>OK !</v>
      </c>
    </row>
    <row r="75" spans="1:34" ht="11.25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5" ht="13.5" customHeight="1"/>
    <row r="116" ht="13.5" customHeight="1"/>
  </sheetData>
  <mergeCells count="351">
    <mergeCell ref="AC9:AG9"/>
    <mergeCell ref="AU73:AV73"/>
    <mergeCell ref="AJ74:AK74"/>
    <mergeCell ref="AM74:AP74"/>
    <mergeCell ref="AQ74:AR74"/>
    <mergeCell ref="AS74:AT74"/>
    <mergeCell ref="AU74:AV74"/>
    <mergeCell ref="AJ73:AK73"/>
    <mergeCell ref="AM73:AP73"/>
    <mergeCell ref="AQ73:AR73"/>
    <mergeCell ref="AS73:AT73"/>
    <mergeCell ref="AU71:AV71"/>
    <mergeCell ref="AJ72:AK72"/>
    <mergeCell ref="AM72:AP72"/>
    <mergeCell ref="AQ72:AR72"/>
    <mergeCell ref="AS72:AT72"/>
    <mergeCell ref="AU72:AV72"/>
    <mergeCell ref="AJ71:AK71"/>
    <mergeCell ref="AM71:AP71"/>
    <mergeCell ref="AQ71:AR71"/>
    <mergeCell ref="AS71:AT71"/>
    <mergeCell ref="AS69:AT69"/>
    <mergeCell ref="AU69:AV69"/>
    <mergeCell ref="AJ70:AK70"/>
    <mergeCell ref="AM70:AP70"/>
    <mergeCell ref="AQ70:AR70"/>
    <mergeCell ref="AS70:AT70"/>
    <mergeCell ref="AU70:AV70"/>
    <mergeCell ref="AJ69:AK69"/>
    <mergeCell ref="AM69:AP69"/>
    <mergeCell ref="AQ69:AR69"/>
    <mergeCell ref="AU67:AV67"/>
    <mergeCell ref="AJ68:AK68"/>
    <mergeCell ref="AM68:AP68"/>
    <mergeCell ref="AQ68:AR68"/>
    <mergeCell ref="AS68:AT68"/>
    <mergeCell ref="AU68:AV68"/>
    <mergeCell ref="AJ67:AK67"/>
    <mergeCell ref="AM67:AP67"/>
    <mergeCell ref="AQ67:AR67"/>
    <mergeCell ref="AS67:AT67"/>
    <mergeCell ref="AU65:AV65"/>
    <mergeCell ref="AJ66:AK66"/>
    <mergeCell ref="AM66:AP66"/>
    <mergeCell ref="AQ66:AR66"/>
    <mergeCell ref="AS66:AT66"/>
    <mergeCell ref="AU66:AV66"/>
    <mergeCell ref="AJ65:AK65"/>
    <mergeCell ref="AM65:AP65"/>
    <mergeCell ref="AQ65:AR65"/>
    <mergeCell ref="AS65:AT65"/>
    <mergeCell ref="AU62:AV62"/>
    <mergeCell ref="AJ63:AK63"/>
    <mergeCell ref="AM63:AP63"/>
    <mergeCell ref="AQ63:AR63"/>
    <mergeCell ref="AS63:AT63"/>
    <mergeCell ref="AU63:AV63"/>
    <mergeCell ref="AJ62:AK62"/>
    <mergeCell ref="AM62:AP62"/>
    <mergeCell ref="AS62:AT62"/>
    <mergeCell ref="AQ60:AR60"/>
    <mergeCell ref="AS60:AT60"/>
    <mergeCell ref="AU60:AV60"/>
    <mergeCell ref="AJ61:AK61"/>
    <mergeCell ref="AM61:AP61"/>
    <mergeCell ref="AQ61:AR61"/>
    <mergeCell ref="AS61:AT61"/>
    <mergeCell ref="AU61:AV61"/>
    <mergeCell ref="AJ58:AK58"/>
    <mergeCell ref="AJ59:AK59"/>
    <mergeCell ref="AJ60:AK60"/>
    <mergeCell ref="AM60:AP60"/>
    <mergeCell ref="AG66:AH66"/>
    <mergeCell ref="AG68:AH68"/>
    <mergeCell ref="AG71:AH71"/>
    <mergeCell ref="AG73:AH73"/>
    <mergeCell ref="AG67:AH67"/>
    <mergeCell ref="AG70:AH70"/>
    <mergeCell ref="AD66:AF66"/>
    <mergeCell ref="AD68:AF68"/>
    <mergeCell ref="AD71:AF71"/>
    <mergeCell ref="AD73:AF73"/>
    <mergeCell ref="AD67:AF67"/>
    <mergeCell ref="O73:Q73"/>
    <mergeCell ref="S73:U73"/>
    <mergeCell ref="Y61:AA61"/>
    <mergeCell ref="Y63:AA63"/>
    <mergeCell ref="Y66:AA66"/>
    <mergeCell ref="Y68:AA68"/>
    <mergeCell ref="Y71:AA71"/>
    <mergeCell ref="Y73:AA73"/>
    <mergeCell ref="O68:Q68"/>
    <mergeCell ref="S68:U68"/>
    <mergeCell ref="O71:Q71"/>
    <mergeCell ref="S71:U71"/>
    <mergeCell ref="O63:Q63"/>
    <mergeCell ref="S63:U63"/>
    <mergeCell ref="O66:Q66"/>
    <mergeCell ref="S66:U66"/>
    <mergeCell ref="S65:U65"/>
    <mergeCell ref="AD51:AF51"/>
    <mergeCell ref="AD52:AF52"/>
    <mergeCell ref="AD55:AF55"/>
    <mergeCell ref="AD56:AF56"/>
    <mergeCell ref="AE43:AG43"/>
    <mergeCell ref="AE44:AG44"/>
    <mergeCell ref="AE47:AG47"/>
    <mergeCell ref="AE48:AG48"/>
    <mergeCell ref="Y45:Z45"/>
    <mergeCell ref="Y46:Z46"/>
    <mergeCell ref="Y43:Z43"/>
    <mergeCell ref="Y44:Z44"/>
    <mergeCell ref="Y47:Z47"/>
    <mergeCell ref="Y48:Z48"/>
    <mergeCell ref="AD21:AE21"/>
    <mergeCell ref="AD22:AE22"/>
    <mergeCell ref="AD25:AE25"/>
    <mergeCell ref="Y41:Z41"/>
    <mergeCell ref="Y42:Z42"/>
    <mergeCell ref="Z27:AA28"/>
    <mergeCell ref="AD26:AE26"/>
    <mergeCell ref="AC36:AC37"/>
    <mergeCell ref="I72:J72"/>
    <mergeCell ref="L72:M72"/>
    <mergeCell ref="O72:Q72"/>
    <mergeCell ref="S72:U72"/>
    <mergeCell ref="Y72:AA72"/>
    <mergeCell ref="AD72:AF72"/>
    <mergeCell ref="AG72:AH72"/>
    <mergeCell ref="L67:M67"/>
    <mergeCell ref="O67:Q67"/>
    <mergeCell ref="S67:U67"/>
    <mergeCell ref="Y67:AA67"/>
    <mergeCell ref="O70:Q70"/>
    <mergeCell ref="S70:U70"/>
    <mergeCell ref="Y70:AA70"/>
    <mergeCell ref="O62:Q62"/>
    <mergeCell ref="S62:U62"/>
    <mergeCell ref="Y62:AA62"/>
    <mergeCell ref="O65:Q65"/>
    <mergeCell ref="R55:R56"/>
    <mergeCell ref="S55:U56"/>
    <mergeCell ref="V55:V56"/>
    <mergeCell ref="H55:H56"/>
    <mergeCell ref="I55:J55"/>
    <mergeCell ref="L55:M55"/>
    <mergeCell ref="I56:J56"/>
    <mergeCell ref="L56:M56"/>
    <mergeCell ref="O56:P56"/>
    <mergeCell ref="O55:P55"/>
    <mergeCell ref="M53:U54"/>
    <mergeCell ref="V53:V54"/>
    <mergeCell ref="F53:G54"/>
    <mergeCell ref="H53:H54"/>
    <mergeCell ref="I53:J53"/>
    <mergeCell ref="L53:L54"/>
    <mergeCell ref="I54:J54"/>
    <mergeCell ref="R51:R52"/>
    <mergeCell ref="S51:U52"/>
    <mergeCell ref="V51:V52"/>
    <mergeCell ref="H51:H52"/>
    <mergeCell ref="I51:J51"/>
    <mergeCell ref="L51:M51"/>
    <mergeCell ref="I52:J52"/>
    <mergeCell ref="L52:M52"/>
    <mergeCell ref="O52:P52"/>
    <mergeCell ref="O51:P51"/>
    <mergeCell ref="M49:U50"/>
    <mergeCell ref="V49:V50"/>
    <mergeCell ref="F49:G50"/>
    <mergeCell ref="H49:H50"/>
    <mergeCell ref="I49:J49"/>
    <mergeCell ref="L49:L50"/>
    <mergeCell ref="I50:J50"/>
    <mergeCell ref="V45:V46"/>
    <mergeCell ref="W45:W46"/>
    <mergeCell ref="X45:X46"/>
    <mergeCell ref="R47:R48"/>
    <mergeCell ref="S47:U48"/>
    <mergeCell ref="V47:V48"/>
    <mergeCell ref="V43:V44"/>
    <mergeCell ref="I44:J44"/>
    <mergeCell ref="L44:M44"/>
    <mergeCell ref="O44:P44"/>
    <mergeCell ref="H38:H39"/>
    <mergeCell ref="H43:H44"/>
    <mergeCell ref="O43:P43"/>
    <mergeCell ref="R43:R44"/>
    <mergeCell ref="I39:J39"/>
    <mergeCell ref="I38:J38"/>
    <mergeCell ref="M36:U37"/>
    <mergeCell ref="V36:V37"/>
    <mergeCell ref="X41:X42"/>
    <mergeCell ref="M41:U42"/>
    <mergeCell ref="R38:R39"/>
    <mergeCell ref="S38:U39"/>
    <mergeCell ref="L39:M39"/>
    <mergeCell ref="L38:M38"/>
    <mergeCell ref="O38:P38"/>
    <mergeCell ref="O39:P39"/>
    <mergeCell ref="AD36:AF37"/>
    <mergeCell ref="V38:V39"/>
    <mergeCell ref="AD38:AF38"/>
    <mergeCell ref="AD39:AF39"/>
    <mergeCell ref="F36:G37"/>
    <mergeCell ref="H36:H37"/>
    <mergeCell ref="I36:J36"/>
    <mergeCell ref="L36:L37"/>
    <mergeCell ref="I37:J37"/>
    <mergeCell ref="AG23:AH24"/>
    <mergeCell ref="AG27:AH28"/>
    <mergeCell ref="AB27:AC28"/>
    <mergeCell ref="AE23:AF24"/>
    <mergeCell ref="AE27:AF28"/>
    <mergeCell ref="AD27:AD28"/>
    <mergeCell ref="AD23:AD24"/>
    <mergeCell ref="AB23:AC24"/>
    <mergeCell ref="R23:R24"/>
    <mergeCell ref="S23:U24"/>
    <mergeCell ref="W23:X23"/>
    <mergeCell ref="W24:X24"/>
    <mergeCell ref="R34:R35"/>
    <mergeCell ref="AD34:AF34"/>
    <mergeCell ref="AD35:AF35"/>
    <mergeCell ref="F32:G33"/>
    <mergeCell ref="H32:H33"/>
    <mergeCell ref="I32:J32"/>
    <mergeCell ref="L32:L33"/>
    <mergeCell ref="I33:J33"/>
    <mergeCell ref="V32:V33"/>
    <mergeCell ref="M32:U33"/>
    <mergeCell ref="H27:H28"/>
    <mergeCell ref="M27:N27"/>
    <mergeCell ref="R27:R28"/>
    <mergeCell ref="L25:O26"/>
    <mergeCell ref="P25:P26"/>
    <mergeCell ref="Q25:AB26"/>
    <mergeCell ref="J28:K28"/>
    <mergeCell ref="M28:N28"/>
    <mergeCell ref="P28:Q28"/>
    <mergeCell ref="S27:U28"/>
    <mergeCell ref="Y27:Y28"/>
    <mergeCell ref="Z23:AA24"/>
    <mergeCell ref="V27:V28"/>
    <mergeCell ref="W27:X27"/>
    <mergeCell ref="W28:X28"/>
    <mergeCell ref="F25:G26"/>
    <mergeCell ref="H25:H26"/>
    <mergeCell ref="I25:J25"/>
    <mergeCell ref="K25:K26"/>
    <mergeCell ref="I26:J26"/>
    <mergeCell ref="H23:H24"/>
    <mergeCell ref="J24:K24"/>
    <mergeCell ref="M24:N24"/>
    <mergeCell ref="P24:Q24"/>
    <mergeCell ref="M23:N23"/>
    <mergeCell ref="H21:H22"/>
    <mergeCell ref="P21:P22"/>
    <mergeCell ref="AC21:AC22"/>
    <mergeCell ref="L21:O22"/>
    <mergeCell ref="Q21:AB22"/>
    <mergeCell ref="I22:J22"/>
    <mergeCell ref="I21:J21"/>
    <mergeCell ref="K21:K22"/>
    <mergeCell ref="I35:J35"/>
    <mergeCell ref="L35:M35"/>
    <mergeCell ref="O35:P35"/>
    <mergeCell ref="I34:J34"/>
    <mergeCell ref="L34:M34"/>
    <mergeCell ref="O34:P34"/>
    <mergeCell ref="O48:P48"/>
    <mergeCell ref="F45:G46"/>
    <mergeCell ref="H45:H46"/>
    <mergeCell ref="I46:J46"/>
    <mergeCell ref="I45:J45"/>
    <mergeCell ref="K45:K46"/>
    <mergeCell ref="L45:L46"/>
    <mergeCell ref="M45:U46"/>
    <mergeCell ref="W41:W42"/>
    <mergeCell ref="H47:H48"/>
    <mergeCell ref="I47:J47"/>
    <mergeCell ref="L47:M47"/>
    <mergeCell ref="O47:P47"/>
    <mergeCell ref="I48:J48"/>
    <mergeCell ref="L48:M48"/>
    <mergeCell ref="L43:M43"/>
    <mergeCell ref="I43:J43"/>
    <mergeCell ref="S43:U44"/>
    <mergeCell ref="F41:G42"/>
    <mergeCell ref="M15:N15"/>
    <mergeCell ref="P15:Q15"/>
    <mergeCell ref="S15:T15"/>
    <mergeCell ref="I42:J42"/>
    <mergeCell ref="H41:H42"/>
    <mergeCell ref="K41:K42"/>
    <mergeCell ref="L41:L42"/>
    <mergeCell ref="I41:J41"/>
    <mergeCell ref="F21:G22"/>
    <mergeCell ref="V41:V42"/>
    <mergeCell ref="Y15:AA15"/>
    <mergeCell ref="AC8:AG8"/>
    <mergeCell ref="A1:AH3"/>
    <mergeCell ref="AC6:AG6"/>
    <mergeCell ref="AC7:AD7"/>
    <mergeCell ref="AF7:AG7"/>
    <mergeCell ref="AD20:AF20"/>
    <mergeCell ref="AD15:AF15"/>
    <mergeCell ref="V15:W15"/>
    <mergeCell ref="AG62:AH62"/>
    <mergeCell ref="AG65:AH65"/>
    <mergeCell ref="AD60:AF60"/>
    <mergeCell ref="AD62:AF62"/>
    <mergeCell ref="AD61:AF61"/>
    <mergeCell ref="AD63:AF63"/>
    <mergeCell ref="AG61:AH61"/>
    <mergeCell ref="AG63:AH63"/>
    <mergeCell ref="AG15:AH15"/>
    <mergeCell ref="L60:M60"/>
    <mergeCell ref="L62:M62"/>
    <mergeCell ref="L65:M65"/>
    <mergeCell ref="AG60:AH60"/>
    <mergeCell ref="P18:Q18"/>
    <mergeCell ref="V18:X18"/>
    <mergeCell ref="M19:N19"/>
    <mergeCell ref="M20:N20"/>
    <mergeCell ref="V19:W19"/>
    <mergeCell ref="L70:M70"/>
    <mergeCell ref="AD59:AE59"/>
    <mergeCell ref="AD65:AF65"/>
    <mergeCell ref="AD70:AF70"/>
    <mergeCell ref="O60:Q60"/>
    <mergeCell ref="S60:U60"/>
    <mergeCell ref="Y60:AA60"/>
    <mergeCell ref="Y65:AA65"/>
    <mergeCell ref="O61:Q61"/>
    <mergeCell ref="S61:U61"/>
    <mergeCell ref="I60:J60"/>
    <mergeCell ref="I62:J62"/>
    <mergeCell ref="I65:J65"/>
    <mergeCell ref="I70:J70"/>
    <mergeCell ref="I67:J67"/>
    <mergeCell ref="V20:W20"/>
    <mergeCell ref="AF19:AG19"/>
    <mergeCell ref="T40:U40"/>
    <mergeCell ref="X40:Y40"/>
    <mergeCell ref="AG40:AH40"/>
    <mergeCell ref="V34:V35"/>
    <mergeCell ref="S34:U35"/>
    <mergeCell ref="Y23:Y24"/>
    <mergeCell ref="V23:V24"/>
    <mergeCell ref="AC25:AC2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W76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4" ht="9.75" customHeight="1">
      <c r="A4" s="6"/>
      <c r="B4" s="6" t="s">
        <v>217</v>
      </c>
      <c r="C4" s="6"/>
      <c r="D4" s="6"/>
      <c r="E4" s="7" t="str">
        <f>project</f>
        <v>Programming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Z4" s="6" t="s">
        <v>218</v>
      </c>
      <c r="AA4" s="3"/>
      <c r="AB4" s="3"/>
      <c r="AC4" s="377" t="str">
        <f>docno</f>
        <v>SC - RPV - 100</v>
      </c>
      <c r="AD4" s="377"/>
      <c r="AE4" s="377"/>
      <c r="AF4" s="377"/>
      <c r="AG4" s="377"/>
      <c r="AH4" s="4"/>
    </row>
    <row r="5" spans="1:34" ht="9.75" customHeight="1">
      <c r="A5" s="6"/>
      <c r="B5" s="6" t="s">
        <v>6</v>
      </c>
      <c r="C5" s="6"/>
      <c r="D5" s="6"/>
      <c r="E5" s="7" t="str">
        <f>itemno</f>
        <v>13-17 Example, P430~1</v>
      </c>
      <c r="F5" s="6"/>
      <c r="G5" s="6"/>
      <c r="H5" s="6"/>
      <c r="I5" s="6"/>
      <c r="J5" s="6" t="s">
        <v>7</v>
      </c>
      <c r="K5" s="6"/>
      <c r="L5" s="6"/>
      <c r="M5" s="7" t="str">
        <f>service</f>
        <v>Rectangular Vessel</v>
      </c>
      <c r="N5" s="6"/>
      <c r="O5" s="6"/>
      <c r="P5" s="6"/>
      <c r="Q5" s="6"/>
      <c r="R5" s="6"/>
      <c r="S5" s="6"/>
      <c r="T5" s="5"/>
      <c r="U5" s="5"/>
      <c r="V5" s="5"/>
      <c r="Y5" s="6"/>
      <c r="Z5" s="6" t="s">
        <v>219</v>
      </c>
      <c r="AA5" s="3"/>
      <c r="AB5" s="3"/>
      <c r="AC5" s="311">
        <v>4</v>
      </c>
      <c r="AD5" s="311"/>
      <c r="AE5" s="8" t="s">
        <v>220</v>
      </c>
      <c r="AF5" s="304" t="str">
        <f>sheetqty</f>
        <v>x</v>
      </c>
      <c r="AG5" s="304"/>
      <c r="AH5" s="4"/>
    </row>
    <row r="6" spans="1:34" ht="9.75" customHeight="1">
      <c r="A6" s="6"/>
      <c r="B6" s="6"/>
      <c r="C6" s="6"/>
      <c r="D6" s="6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"/>
      <c r="W6" s="3"/>
      <c r="Z6" s="3" t="s">
        <v>221</v>
      </c>
      <c r="AA6" s="3"/>
      <c r="AB6" s="3"/>
      <c r="AC6" s="377" t="str">
        <f>date</f>
        <v>2018.  2.  10.</v>
      </c>
      <c r="AD6" s="377"/>
      <c r="AE6" s="377"/>
      <c r="AF6" s="377"/>
      <c r="AG6" s="377"/>
      <c r="AH6" s="3"/>
    </row>
    <row r="7" spans="1:33" ht="9.75" customHeight="1">
      <c r="A7" s="6"/>
      <c r="C7" s="12" t="s">
        <v>223</v>
      </c>
      <c r="D7" s="31" t="s">
        <v>240</v>
      </c>
      <c r="E7" s="1"/>
      <c r="F7" s="1"/>
      <c r="G7" s="1"/>
      <c r="H7" s="1"/>
      <c r="I7" s="1"/>
      <c r="J7" s="1"/>
      <c r="K7" s="21" t="s">
        <v>224</v>
      </c>
      <c r="L7" s="28" t="s">
        <v>36</v>
      </c>
      <c r="M7" s="35" t="s">
        <v>226</v>
      </c>
      <c r="N7" s="28" t="s">
        <v>37</v>
      </c>
      <c r="O7" s="6"/>
      <c r="P7" s="6"/>
      <c r="Q7" s="6"/>
      <c r="R7" s="6"/>
      <c r="S7" s="6"/>
      <c r="Y7" s="6"/>
      <c r="Z7" s="6" t="s">
        <v>222</v>
      </c>
      <c r="AA7" s="3"/>
      <c r="AB7" s="3"/>
      <c r="AC7" s="377">
        <f>revno</f>
        <v>0</v>
      </c>
      <c r="AD7" s="377"/>
      <c r="AE7" s="377"/>
      <c r="AF7" s="377"/>
      <c r="AG7" s="377"/>
    </row>
    <row r="8" spans="1:29" ht="9.75" customHeight="1">
      <c r="A8" s="6"/>
      <c r="B8" s="6"/>
      <c r="C8" s="6"/>
      <c r="D8" s="7" t="s">
        <v>349</v>
      </c>
      <c r="E8" s="6"/>
      <c r="F8" s="6"/>
      <c r="G8" s="6"/>
      <c r="H8" s="6"/>
      <c r="I8" s="6"/>
      <c r="J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3"/>
      <c r="AA8" s="3"/>
      <c r="AB8" s="3"/>
      <c r="AC8" s="3"/>
    </row>
    <row r="9" spans="1:34" ht="9.75" customHeight="1">
      <c r="A9" s="1"/>
      <c r="B9" s="1"/>
      <c r="C9" s="1"/>
      <c r="D9" s="62" t="str">
        <f>E41</f>
        <v>Short Side Plate</v>
      </c>
      <c r="E9" s="1"/>
      <c r="I9" s="21" t="s">
        <v>270</v>
      </c>
      <c r="J9" s="7" t="str">
        <f>stfntype</f>
        <v>I Beam</v>
      </c>
      <c r="K9" s="1"/>
      <c r="M9" s="42" t="str">
        <f>IF(J9="Flat Bar","",stfnsize)</f>
        <v>I 150 x 75 x 5.5 x 9.5</v>
      </c>
      <c r="N9" s="1"/>
      <c r="O9" s="1"/>
      <c r="P9" s="3"/>
      <c r="Q9" s="1"/>
      <c r="R9" s="439" t="s">
        <v>346</v>
      </c>
      <c r="S9" s="470" t="s">
        <v>272</v>
      </c>
      <c r="T9" s="471"/>
      <c r="U9" s="272" t="s">
        <v>271</v>
      </c>
      <c r="V9" s="272"/>
      <c r="W9" s="272" t="s">
        <v>281</v>
      </c>
      <c r="X9" s="272"/>
      <c r="Y9" s="272" t="s">
        <v>279</v>
      </c>
      <c r="Z9" s="272"/>
      <c r="AA9" s="272" t="s">
        <v>282</v>
      </c>
      <c r="AB9" s="272"/>
      <c r="AC9" s="292" t="s">
        <v>283</v>
      </c>
      <c r="AD9" s="243"/>
      <c r="AE9" s="441"/>
      <c r="AF9" s="431" t="s">
        <v>280</v>
      </c>
      <c r="AG9" s="432"/>
      <c r="AH9" s="432"/>
    </row>
    <row r="10" spans="1:34" ht="9.75" customHeight="1">
      <c r="A10" s="6"/>
      <c r="B10" s="6"/>
      <c r="C10" s="6"/>
      <c r="D10" s="6"/>
      <c r="E10" s="6"/>
      <c r="F10" s="6"/>
      <c r="G10" s="6"/>
      <c r="H10" s="275">
        <f>IF(stfntype="Flat Bar",0,stfnb)</f>
        <v>75</v>
      </c>
      <c r="I10" s="275"/>
      <c r="J10" s="275"/>
      <c r="K10" s="6"/>
      <c r="L10" s="6"/>
      <c r="M10" s="6"/>
      <c r="N10" s="6"/>
      <c r="O10" s="6"/>
      <c r="P10" s="3"/>
      <c r="Q10" s="6"/>
      <c r="R10" s="440"/>
      <c r="S10" s="468" t="s">
        <v>284</v>
      </c>
      <c r="T10" s="469"/>
      <c r="U10" s="469" t="s">
        <v>104</v>
      </c>
      <c r="V10" s="469"/>
      <c r="W10" s="469" t="s">
        <v>285</v>
      </c>
      <c r="X10" s="469"/>
      <c r="Y10" s="469" t="s">
        <v>72</v>
      </c>
      <c r="Z10" s="469"/>
      <c r="AA10" s="469" t="s">
        <v>104</v>
      </c>
      <c r="AB10" s="469"/>
      <c r="AC10" s="433" t="s">
        <v>72</v>
      </c>
      <c r="AD10" s="288"/>
      <c r="AE10" s="437"/>
      <c r="AF10" s="433" t="s">
        <v>72</v>
      </c>
      <c r="AG10" s="288"/>
      <c r="AH10" s="288"/>
    </row>
    <row r="11" spans="1:34" ht="9.75" customHeight="1">
      <c r="A11" s="1"/>
      <c r="B11" s="1"/>
      <c r="C11" s="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6"/>
      <c r="R11" s="48"/>
      <c r="S11" s="454">
        <f>H10*N12</f>
        <v>712.5</v>
      </c>
      <c r="T11" s="455"/>
      <c r="U11" s="452">
        <f>N17+N16+L14+N12/2</f>
        <v>161.125</v>
      </c>
      <c r="V11" s="452"/>
      <c r="W11" s="453">
        <f>S11*U11</f>
        <v>114801.5625</v>
      </c>
      <c r="X11" s="453"/>
      <c r="Y11" s="453">
        <f>H10*N12^3/12</f>
        <v>5358.59375</v>
      </c>
      <c r="Z11" s="453"/>
      <c r="AA11" s="452">
        <f>X17-U11</f>
        <v>-129.03802250326564</v>
      </c>
      <c r="AB11" s="452"/>
      <c r="AC11" s="425">
        <f>S11*AA11^2</f>
        <v>11863703.016731719</v>
      </c>
      <c r="AD11" s="426"/>
      <c r="AE11" s="427"/>
      <c r="AF11" s="425">
        <f>Y11+AC11</f>
        <v>11869061.610481719</v>
      </c>
      <c r="AG11" s="426"/>
      <c r="AH11" s="426"/>
    </row>
    <row r="12" spans="1:34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46">
        <f>IF(stfntype="Flat Bar",0,IF(stfntype="L Angle",stfnt,stfnt2))</f>
        <v>9.5</v>
      </c>
      <c r="O12" s="446"/>
      <c r="P12" s="3"/>
      <c r="Q12" s="1"/>
      <c r="R12" s="44"/>
      <c r="S12" s="458">
        <f>J14*L14</f>
        <v>720.5</v>
      </c>
      <c r="T12" s="459"/>
      <c r="U12" s="456">
        <f>N17+N16+L14/2</f>
        <v>90.875</v>
      </c>
      <c r="V12" s="456"/>
      <c r="W12" s="457">
        <f>S12*U12</f>
        <v>65475.4375</v>
      </c>
      <c r="X12" s="457"/>
      <c r="Y12" s="457">
        <f>J14*L14^3/12</f>
        <v>1030375.0416666666</v>
      </c>
      <c r="Z12" s="457"/>
      <c r="AA12" s="456">
        <f>X17-U12</f>
        <v>-58.788022503265644</v>
      </c>
      <c r="AB12" s="456"/>
      <c r="AC12" s="434">
        <f>S12*AA12^2</f>
        <v>2490070.760482939</v>
      </c>
      <c r="AD12" s="278"/>
      <c r="AE12" s="442"/>
      <c r="AF12" s="434">
        <f>Y12+AC12</f>
        <v>3520445.8021496055</v>
      </c>
      <c r="AG12" s="278"/>
      <c r="AH12" s="278"/>
    </row>
    <row r="13" spans="1:34" ht="9.75" customHeight="1">
      <c r="A13" s="6"/>
      <c r="B13" s="6"/>
      <c r="C13" s="18" t="s">
        <v>277</v>
      </c>
      <c r="D13" s="21" t="s">
        <v>274</v>
      </c>
      <c r="E13" s="447">
        <f>X18</f>
        <v>-133.78802250326564</v>
      </c>
      <c r="F13" s="447"/>
      <c r="G13" s="6"/>
      <c r="H13" s="6"/>
      <c r="I13" s="6"/>
      <c r="J13" s="6"/>
      <c r="K13" s="6"/>
      <c r="L13" s="6"/>
      <c r="M13" s="6"/>
      <c r="N13" s="288" t="s">
        <v>278</v>
      </c>
      <c r="O13" s="288"/>
      <c r="P13" s="3"/>
      <c r="Q13" s="6"/>
      <c r="R13" s="44"/>
      <c r="S13" s="458">
        <f>H10*N16</f>
        <v>712.5</v>
      </c>
      <c r="T13" s="459"/>
      <c r="U13" s="456">
        <f>N17+N16/2</f>
        <v>20.625</v>
      </c>
      <c r="V13" s="456"/>
      <c r="W13" s="457">
        <f>S13*U13</f>
        <v>14695.3125</v>
      </c>
      <c r="X13" s="457"/>
      <c r="Y13" s="457">
        <f>H10*N16^3/12</f>
        <v>5358.59375</v>
      </c>
      <c r="Z13" s="457"/>
      <c r="AA13" s="456">
        <f>X17-U13</f>
        <v>11.461977496734356</v>
      </c>
      <c r="AB13" s="456"/>
      <c r="AC13" s="434">
        <f>S13*AA13^2</f>
        <v>93606.06129664689</v>
      </c>
      <c r="AD13" s="278"/>
      <c r="AE13" s="442"/>
      <c r="AF13" s="434">
        <f>Y13+AC13</f>
        <v>98964.65504664689</v>
      </c>
      <c r="AG13" s="278"/>
      <c r="AH13" s="278"/>
    </row>
    <row r="14" spans="1:34" ht="9.75" customHeight="1">
      <c r="A14" s="1"/>
      <c r="B14" s="1"/>
      <c r="D14" s="451" t="s">
        <v>276</v>
      </c>
      <c r="E14" s="7"/>
      <c r="F14" s="6"/>
      <c r="G14" s="6"/>
      <c r="H14" s="6"/>
      <c r="I14" s="6"/>
      <c r="J14" s="275">
        <f>IF(stfntype="Flat Bar",stfntfb,stfnt)</f>
        <v>5.5</v>
      </c>
      <c r="K14" s="275"/>
      <c r="L14" s="275">
        <f>IF(stfntype="Flat Bar",stfnhfb,stfnh-N12-N16)</f>
        <v>131</v>
      </c>
      <c r="M14" s="275"/>
      <c r="N14" s="404">
        <f>N17+N16+L14+N12</f>
        <v>165.875</v>
      </c>
      <c r="O14" s="404"/>
      <c r="P14" s="3"/>
      <c r="Q14" s="6"/>
      <c r="R14" s="60"/>
      <c r="S14" s="460">
        <f>H18*N17</f>
        <v>5222.875</v>
      </c>
      <c r="T14" s="461"/>
      <c r="U14" s="462">
        <f>N17/2</f>
        <v>7.9375</v>
      </c>
      <c r="V14" s="462"/>
      <c r="W14" s="463">
        <f>S14*U14</f>
        <v>41456.5703125</v>
      </c>
      <c r="X14" s="463"/>
      <c r="Y14" s="463">
        <f>H18*N17^3/12</f>
        <v>109687.17561848958</v>
      </c>
      <c r="Z14" s="463"/>
      <c r="AA14" s="462">
        <f>X17-U14</f>
        <v>24.149477496734356</v>
      </c>
      <c r="AB14" s="462"/>
      <c r="AC14" s="423">
        <f>S14*AA14^2</f>
        <v>3045966.4068989316</v>
      </c>
      <c r="AD14" s="280"/>
      <c r="AE14" s="424"/>
      <c r="AF14" s="423">
        <f>Y14+AC14</f>
        <v>3155653.5825174213</v>
      </c>
      <c r="AG14" s="280"/>
      <c r="AH14" s="280"/>
    </row>
    <row r="15" spans="1:34" ht="9.75" customHeight="1">
      <c r="A15" s="6"/>
      <c r="B15" s="6"/>
      <c r="D15" s="451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"/>
      <c r="Q15" s="6"/>
      <c r="R15" s="61" t="s">
        <v>348</v>
      </c>
      <c r="S15" s="465">
        <f>SUM(S11:T14)</f>
        <v>7368.375</v>
      </c>
      <c r="T15" s="466"/>
      <c r="U15" s="464"/>
      <c r="V15" s="464"/>
      <c r="W15" s="450">
        <f>SUM(W11:X14)</f>
        <v>236428.8828125</v>
      </c>
      <c r="X15" s="450"/>
      <c r="Y15" s="450">
        <f>SUM(Y11:Z11)</f>
        <v>5358.59375</v>
      </c>
      <c r="Z15" s="450"/>
      <c r="AA15" s="464"/>
      <c r="AB15" s="464"/>
      <c r="AC15" s="428">
        <f>SUM(AC11:AE14)</f>
        <v>17493346.245410237</v>
      </c>
      <c r="AD15" s="429"/>
      <c r="AE15" s="430"/>
      <c r="AF15" s="435">
        <f>SUM(AF11:AH14)</f>
        <v>18644125.650195394</v>
      </c>
      <c r="AG15" s="436"/>
      <c r="AH15" s="436"/>
    </row>
    <row r="16" spans="1:34" ht="9.75" customHeight="1">
      <c r="A16" s="1"/>
      <c r="B16" s="1"/>
      <c r="C16" s="18" t="s">
        <v>271</v>
      </c>
      <c r="D16" s="21" t="s">
        <v>273</v>
      </c>
      <c r="E16" s="447">
        <f>X17</f>
        <v>32.086977496734356</v>
      </c>
      <c r="F16" s="447"/>
      <c r="G16" s="1"/>
      <c r="H16" s="1"/>
      <c r="I16" s="1"/>
      <c r="J16" s="1"/>
      <c r="K16" s="1"/>
      <c r="L16" s="1"/>
      <c r="M16" s="1"/>
      <c r="N16" s="446">
        <f>IF(stfntype="Flat Bar",0,IF(stfntype="L Angle",0,stfnt2))</f>
        <v>9.5</v>
      </c>
      <c r="O16" s="446"/>
      <c r="Q16" s="1"/>
      <c r="R16" s="6"/>
      <c r="S16" s="58" t="s">
        <v>317</v>
      </c>
      <c r="T16" s="3" t="s">
        <v>322</v>
      </c>
      <c r="U16" s="6" t="s">
        <v>323</v>
      </c>
      <c r="V16" s="3"/>
      <c r="W16" s="3"/>
      <c r="X16" s="448">
        <f>S13+S12+S11</f>
        <v>2145.5</v>
      </c>
      <c r="Y16" s="449"/>
      <c r="Z16" s="3" t="s">
        <v>284</v>
      </c>
      <c r="AA16" s="3"/>
      <c r="AB16" s="3"/>
      <c r="AC16" s="3"/>
      <c r="AE16" s="6"/>
      <c r="AF16" s="8" t="s">
        <v>302</v>
      </c>
      <c r="AG16" s="438" t="s">
        <v>321</v>
      </c>
      <c r="AH16" s="438"/>
    </row>
    <row r="17" spans="1:30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47">
        <f>st1</f>
        <v>15.875</v>
      </c>
      <c r="O17" s="447"/>
      <c r="Q17" s="6"/>
      <c r="R17" s="6" t="s">
        <v>273</v>
      </c>
      <c r="S17" s="6" t="s">
        <v>275</v>
      </c>
      <c r="T17" s="57" t="s">
        <v>320</v>
      </c>
      <c r="U17" s="6"/>
      <c r="V17" s="3"/>
      <c r="W17" s="6" t="s">
        <v>275</v>
      </c>
      <c r="X17" s="404">
        <f>W15/S15</f>
        <v>32.086977496734356</v>
      </c>
      <c r="Y17" s="404"/>
      <c r="Z17" s="3"/>
      <c r="AA17" s="3"/>
      <c r="AB17" s="3"/>
      <c r="AC17" s="3"/>
      <c r="AD17" s="3"/>
    </row>
    <row r="18" spans="1:30" ht="9.75" customHeight="1">
      <c r="A18" s="1"/>
      <c r="B18" s="1"/>
      <c r="C18" s="1"/>
      <c r="D18" s="6"/>
      <c r="E18" s="6"/>
      <c r="F18" s="6"/>
      <c r="G18" s="6"/>
      <c r="H18" s="273">
        <f>AA39</f>
        <v>329</v>
      </c>
      <c r="I18" s="275"/>
      <c r="J18" s="275"/>
      <c r="K18" s="6"/>
      <c r="L18" s="6"/>
      <c r="M18" s="6"/>
      <c r="N18" s="6"/>
      <c r="O18" s="6"/>
      <c r="Q18" s="6"/>
      <c r="R18" s="1" t="s">
        <v>274</v>
      </c>
      <c r="S18" s="1" t="s">
        <v>275</v>
      </c>
      <c r="T18" s="53" t="s">
        <v>293</v>
      </c>
      <c r="U18" s="1"/>
      <c r="V18" s="1"/>
      <c r="W18" s="6" t="s">
        <v>275</v>
      </c>
      <c r="X18" s="404">
        <f>-(N14-X17)</f>
        <v>-133.78802250326564</v>
      </c>
      <c r="Y18" s="404"/>
      <c r="AD18" s="3"/>
    </row>
    <row r="19" spans="1:34" ht="9.75" customHeight="1">
      <c r="A19" s="1"/>
      <c r="B19" s="1"/>
      <c r="C19" s="1"/>
      <c r="D19" s="62" t="str">
        <f>E44</f>
        <v>Long Side Plate</v>
      </c>
      <c r="E19" s="1"/>
      <c r="I19" s="21" t="s">
        <v>270</v>
      </c>
      <c r="J19" s="7" t="str">
        <f>stfn2type</f>
        <v>I Beam</v>
      </c>
      <c r="K19" s="1"/>
      <c r="M19" s="42" t="str">
        <f>IF(J19="Flat Bar","",stfn2size)</f>
        <v>I 200 x 100 x 7 x 10</v>
      </c>
      <c r="N19" s="1"/>
      <c r="O19" s="1"/>
      <c r="P19" s="3"/>
      <c r="Q19" s="1"/>
      <c r="R19" s="439" t="s">
        <v>346</v>
      </c>
      <c r="S19" s="470" t="s">
        <v>272</v>
      </c>
      <c r="T19" s="471"/>
      <c r="U19" s="272" t="s">
        <v>271</v>
      </c>
      <c r="V19" s="272"/>
      <c r="W19" s="272" t="s">
        <v>281</v>
      </c>
      <c r="X19" s="272"/>
      <c r="Y19" s="272" t="s">
        <v>279</v>
      </c>
      <c r="Z19" s="272"/>
      <c r="AA19" s="272" t="s">
        <v>282</v>
      </c>
      <c r="AB19" s="272"/>
      <c r="AC19" s="292" t="s">
        <v>283</v>
      </c>
      <c r="AD19" s="243"/>
      <c r="AE19" s="441"/>
      <c r="AF19" s="431" t="s">
        <v>280</v>
      </c>
      <c r="AG19" s="432"/>
      <c r="AH19" s="432"/>
    </row>
    <row r="20" spans="1:34" ht="9.75" customHeight="1">
      <c r="A20" s="6"/>
      <c r="B20" s="6"/>
      <c r="C20" s="6"/>
      <c r="D20" s="6"/>
      <c r="E20" s="6"/>
      <c r="F20" s="6"/>
      <c r="G20" s="6"/>
      <c r="H20" s="275">
        <f>IF(stfn2type="Flat Bar",0,stfn2b)</f>
        <v>100</v>
      </c>
      <c r="I20" s="275"/>
      <c r="J20" s="275"/>
      <c r="K20" s="6"/>
      <c r="L20" s="6"/>
      <c r="M20" s="6"/>
      <c r="N20" s="6"/>
      <c r="O20" s="6"/>
      <c r="P20" s="3"/>
      <c r="Q20" s="6"/>
      <c r="R20" s="440"/>
      <c r="S20" s="468" t="s">
        <v>284</v>
      </c>
      <c r="T20" s="469"/>
      <c r="U20" s="469" t="s">
        <v>104</v>
      </c>
      <c r="V20" s="469"/>
      <c r="W20" s="469" t="s">
        <v>285</v>
      </c>
      <c r="X20" s="469"/>
      <c r="Y20" s="469" t="s">
        <v>72</v>
      </c>
      <c r="Z20" s="469"/>
      <c r="AA20" s="469" t="s">
        <v>104</v>
      </c>
      <c r="AB20" s="469"/>
      <c r="AC20" s="433" t="s">
        <v>72</v>
      </c>
      <c r="AD20" s="288"/>
      <c r="AE20" s="437"/>
      <c r="AF20" s="433" t="s">
        <v>72</v>
      </c>
      <c r="AG20" s="288"/>
      <c r="AH20" s="288"/>
    </row>
    <row r="21" spans="1:34" ht="9.75" customHeight="1">
      <c r="A21" s="1"/>
      <c r="B21" s="1"/>
      <c r="C21" s="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6"/>
      <c r="R21" s="48"/>
      <c r="S21" s="454">
        <f>H20*N22</f>
        <v>1000</v>
      </c>
      <c r="T21" s="455"/>
      <c r="U21" s="452">
        <f>N27+N26+L24+N22/2</f>
        <v>220.4</v>
      </c>
      <c r="V21" s="452"/>
      <c r="W21" s="453">
        <f>S21*U21</f>
        <v>220400</v>
      </c>
      <c r="X21" s="453"/>
      <c r="Y21" s="453">
        <f>H20*N22^3/12</f>
        <v>8333.333333333334</v>
      </c>
      <c r="Z21" s="453"/>
      <c r="AA21" s="452">
        <f>X27-U21</f>
        <v>-176.07267358779677</v>
      </c>
      <c r="AB21" s="452"/>
      <c r="AC21" s="425">
        <f>S21*AA21^2</f>
        <v>31001586.384354826</v>
      </c>
      <c r="AD21" s="426"/>
      <c r="AE21" s="427"/>
      <c r="AF21" s="425">
        <f>Y21+AC21</f>
        <v>31009919.71768816</v>
      </c>
      <c r="AG21" s="426"/>
      <c r="AH21" s="426"/>
    </row>
    <row r="22" spans="1:34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46">
        <f>IF(stfn2type="Flat Bar",0,IF(stfn2type="L Angle",stfn2t,stfn2t2))</f>
        <v>10</v>
      </c>
      <c r="O22" s="446"/>
      <c r="P22" s="3"/>
      <c r="Q22" s="1"/>
      <c r="R22" s="44"/>
      <c r="S22" s="458">
        <f>J24*L24</f>
        <v>1260</v>
      </c>
      <c r="T22" s="459"/>
      <c r="U22" s="456">
        <f>N27+N26+L24/2</f>
        <v>125.4</v>
      </c>
      <c r="V22" s="456"/>
      <c r="W22" s="457">
        <f>S22*U22</f>
        <v>158004</v>
      </c>
      <c r="X22" s="457"/>
      <c r="Y22" s="457">
        <f>J24*L24^3/12</f>
        <v>3402000</v>
      </c>
      <c r="Z22" s="457"/>
      <c r="AA22" s="456">
        <f>X27-U22</f>
        <v>-81.07267358779677</v>
      </c>
      <c r="AB22" s="456"/>
      <c r="AC22" s="434">
        <f>S22*AA22^2</f>
        <v>8281700.787368534</v>
      </c>
      <c r="AD22" s="278"/>
      <c r="AE22" s="442"/>
      <c r="AF22" s="434">
        <f>Y22+AC22</f>
        <v>11683700.787368534</v>
      </c>
      <c r="AG22" s="278"/>
      <c r="AH22" s="278"/>
    </row>
    <row r="23" spans="1:34" ht="9.75" customHeight="1">
      <c r="A23" s="6"/>
      <c r="B23" s="6"/>
      <c r="C23" s="18" t="s">
        <v>277</v>
      </c>
      <c r="D23" s="21" t="s">
        <v>274</v>
      </c>
      <c r="E23" s="447">
        <f>X28</f>
        <v>-181.07267358779677</v>
      </c>
      <c r="F23" s="447"/>
      <c r="G23" s="6"/>
      <c r="H23" s="6"/>
      <c r="I23" s="6"/>
      <c r="J23" s="6"/>
      <c r="K23" s="6"/>
      <c r="L23" s="6"/>
      <c r="M23" s="6"/>
      <c r="N23" s="288" t="s">
        <v>278</v>
      </c>
      <c r="O23" s="288"/>
      <c r="P23" s="3"/>
      <c r="Q23" s="6"/>
      <c r="R23" s="44"/>
      <c r="S23" s="458">
        <f>H20*N26</f>
        <v>1000</v>
      </c>
      <c r="T23" s="459"/>
      <c r="U23" s="456">
        <f>N27+N26/2</f>
        <v>30.4</v>
      </c>
      <c r="V23" s="456"/>
      <c r="W23" s="457">
        <f>S23*U23</f>
        <v>30400</v>
      </c>
      <c r="X23" s="457"/>
      <c r="Y23" s="457">
        <f>H20*N26^3/12</f>
        <v>8333.333333333334</v>
      </c>
      <c r="Z23" s="457"/>
      <c r="AA23" s="456">
        <f>X27-U23</f>
        <v>13.927326412203229</v>
      </c>
      <c r="AB23" s="456"/>
      <c r="AC23" s="434">
        <f>S23*AA23^2</f>
        <v>193970.42099205364</v>
      </c>
      <c r="AD23" s="278"/>
      <c r="AE23" s="442"/>
      <c r="AF23" s="434">
        <f>Y23+AC23</f>
        <v>202303.75432538698</v>
      </c>
      <c r="AG23" s="278"/>
      <c r="AH23" s="278"/>
    </row>
    <row r="24" spans="1:34" ht="9.75" customHeight="1">
      <c r="A24" s="1"/>
      <c r="B24" s="1"/>
      <c r="D24" s="451" t="s">
        <v>276</v>
      </c>
      <c r="E24" s="7"/>
      <c r="F24" s="6"/>
      <c r="G24" s="6"/>
      <c r="H24" s="6"/>
      <c r="I24" s="6"/>
      <c r="J24" s="275">
        <f>IF(stfn2type="Flat Bar",stfn2tfb,stfn2t)</f>
        <v>7</v>
      </c>
      <c r="K24" s="275"/>
      <c r="L24" s="275">
        <f>IF(stfn2type="Flat Bar",stfn2hfb,stfn2h-N22-N26)</f>
        <v>180</v>
      </c>
      <c r="M24" s="275"/>
      <c r="N24" s="404">
        <f>N27+N26+L24+N22</f>
        <v>225.4</v>
      </c>
      <c r="O24" s="404"/>
      <c r="P24" s="3"/>
      <c r="Q24" s="6"/>
      <c r="R24" s="60"/>
      <c r="S24" s="460">
        <f>H28*N27</f>
        <v>8356.6</v>
      </c>
      <c r="T24" s="461"/>
      <c r="U24" s="462">
        <f>N27/2</f>
        <v>12.7</v>
      </c>
      <c r="V24" s="462"/>
      <c r="W24" s="463">
        <f>S24*U24</f>
        <v>106128.81999999999</v>
      </c>
      <c r="X24" s="463"/>
      <c r="Y24" s="463">
        <f>H28*N27^3/12</f>
        <v>449278.6713333333</v>
      </c>
      <c r="Z24" s="463"/>
      <c r="AA24" s="462">
        <f>X27-U24</f>
        <v>31.627326412203228</v>
      </c>
      <c r="AB24" s="462"/>
      <c r="AC24" s="423">
        <f>S24*AA24^2</f>
        <v>8359004.828788295</v>
      </c>
      <c r="AD24" s="280"/>
      <c r="AE24" s="424"/>
      <c r="AF24" s="423">
        <f>Y24+AC24</f>
        <v>8808283.500121629</v>
      </c>
      <c r="AG24" s="280"/>
      <c r="AH24" s="280"/>
    </row>
    <row r="25" spans="1:34" ht="9.75" customHeight="1">
      <c r="A25" s="6"/>
      <c r="B25" s="6"/>
      <c r="D25" s="45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"/>
      <c r="Q25" s="6"/>
      <c r="R25" s="61" t="s">
        <v>347</v>
      </c>
      <c r="S25" s="465">
        <f>SUM(S21:T24)</f>
        <v>11616.6</v>
      </c>
      <c r="T25" s="466"/>
      <c r="U25" s="464"/>
      <c r="V25" s="464"/>
      <c r="W25" s="450">
        <f>SUM(W21:X24)</f>
        <v>514932.82</v>
      </c>
      <c r="X25" s="450"/>
      <c r="Y25" s="450">
        <f>SUM(Y21:Z24)</f>
        <v>3867945.3380000005</v>
      </c>
      <c r="Z25" s="450"/>
      <c r="AA25" s="464"/>
      <c r="AB25" s="464"/>
      <c r="AC25" s="428">
        <f>SUM(AC21:AE24)</f>
        <v>47836262.42150371</v>
      </c>
      <c r="AD25" s="429"/>
      <c r="AE25" s="430"/>
      <c r="AF25" s="435">
        <f>SUM(AF21:AH24)</f>
        <v>51704207.759503715</v>
      </c>
      <c r="AG25" s="436"/>
      <c r="AH25" s="436"/>
    </row>
    <row r="26" spans="1:34" ht="9.75" customHeight="1">
      <c r="A26" s="1"/>
      <c r="B26" s="1"/>
      <c r="C26" s="18" t="s">
        <v>271</v>
      </c>
      <c r="D26" s="21" t="s">
        <v>273</v>
      </c>
      <c r="E26" s="447">
        <f>X27</f>
        <v>44.32732641220323</v>
      </c>
      <c r="F26" s="447"/>
      <c r="G26" s="1"/>
      <c r="H26" s="1"/>
      <c r="I26" s="1"/>
      <c r="J26" s="1"/>
      <c r="K26" s="1"/>
      <c r="L26" s="1"/>
      <c r="M26" s="1"/>
      <c r="N26" s="446">
        <f>IF(stfn2type="Flat Bar",0,IF(stfn2type="L Angle",0,stfn2t2))</f>
        <v>10</v>
      </c>
      <c r="O26" s="446"/>
      <c r="Q26" s="1"/>
      <c r="R26" s="6"/>
      <c r="S26" s="58" t="s">
        <v>318</v>
      </c>
      <c r="T26" s="3" t="s">
        <v>52</v>
      </c>
      <c r="U26" s="6" t="s">
        <v>323</v>
      </c>
      <c r="V26" s="3"/>
      <c r="W26" s="3"/>
      <c r="X26" s="448">
        <f>S23+S22+S21</f>
        <v>3260</v>
      </c>
      <c r="Y26" s="449"/>
      <c r="Z26" s="3" t="s">
        <v>284</v>
      </c>
      <c r="AA26" s="3"/>
      <c r="AB26" s="3"/>
      <c r="AC26" s="3"/>
      <c r="AE26" s="6"/>
      <c r="AF26" s="8" t="s">
        <v>302</v>
      </c>
      <c r="AG26" s="438" t="s">
        <v>312</v>
      </c>
      <c r="AH26" s="438"/>
    </row>
    <row r="27" spans="1:30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447">
        <f>lt2</f>
        <v>25.4</v>
      </c>
      <c r="O27" s="447"/>
      <c r="Q27" s="6"/>
      <c r="R27" s="6" t="s">
        <v>273</v>
      </c>
      <c r="S27" s="6" t="s">
        <v>275</v>
      </c>
      <c r="T27" s="57" t="s">
        <v>319</v>
      </c>
      <c r="U27" s="6"/>
      <c r="V27" s="3"/>
      <c r="W27" s="6" t="s">
        <v>275</v>
      </c>
      <c r="X27" s="404">
        <f>W25/S25</f>
        <v>44.32732641220323</v>
      </c>
      <c r="Y27" s="404"/>
      <c r="Z27" s="3"/>
      <c r="AA27" s="3"/>
      <c r="AB27" s="3"/>
      <c r="AC27" s="3"/>
      <c r="AD27" s="3"/>
    </row>
    <row r="28" spans="1:30" ht="9.75" customHeight="1">
      <c r="A28" s="1"/>
      <c r="B28" s="1"/>
      <c r="C28" s="1"/>
      <c r="D28" s="6"/>
      <c r="E28" s="6"/>
      <c r="F28" s="6"/>
      <c r="G28" s="6"/>
      <c r="H28" s="273">
        <f>AA39</f>
        <v>329</v>
      </c>
      <c r="I28" s="275"/>
      <c r="J28" s="275"/>
      <c r="K28" s="6"/>
      <c r="L28" s="6"/>
      <c r="M28" s="6"/>
      <c r="N28" s="6"/>
      <c r="O28" s="6"/>
      <c r="Q28" s="6"/>
      <c r="R28" s="1" t="s">
        <v>274</v>
      </c>
      <c r="S28" s="1" t="s">
        <v>275</v>
      </c>
      <c r="T28" s="53" t="s">
        <v>293</v>
      </c>
      <c r="U28" s="1"/>
      <c r="V28" s="1"/>
      <c r="W28" s="6" t="s">
        <v>275</v>
      </c>
      <c r="X28" s="404">
        <f>-(N24-X27)</f>
        <v>-181.07267358779677</v>
      </c>
      <c r="Y28" s="404"/>
      <c r="AD28" s="3"/>
    </row>
    <row r="29" spans="1:33" ht="9.75" customHeight="1">
      <c r="A29" s="1"/>
      <c r="B29" s="1"/>
      <c r="C29" s="1"/>
      <c r="D29" s="1"/>
      <c r="E29" s="63" t="s">
        <v>315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4" t="s">
        <v>287</v>
      </c>
      <c r="W29" s="63"/>
      <c r="X29" s="63"/>
      <c r="Y29" s="63"/>
      <c r="Z29" s="63"/>
      <c r="AA29" s="63"/>
      <c r="AB29" s="65"/>
      <c r="AC29" s="63"/>
      <c r="AD29" s="63"/>
      <c r="AE29" s="63"/>
      <c r="AF29" s="63"/>
      <c r="AG29" s="63"/>
    </row>
    <row r="30" spans="1:33" ht="9.75" customHeight="1">
      <c r="A30" s="1"/>
      <c r="B30" s="1"/>
      <c r="C30" s="1"/>
      <c r="D30" s="1"/>
      <c r="E30" s="43" t="s">
        <v>308</v>
      </c>
      <c r="F30" s="43" t="s">
        <v>52</v>
      </c>
      <c r="G30" s="43" t="s">
        <v>299</v>
      </c>
      <c r="H30" s="43"/>
      <c r="I30" s="43"/>
      <c r="J30" s="43"/>
      <c r="K30" s="43"/>
      <c r="L30" s="45" t="s">
        <v>52</v>
      </c>
      <c r="M30" s="445">
        <f>N17</f>
        <v>15.875</v>
      </c>
      <c r="N30" s="328"/>
      <c r="O30" s="45" t="s">
        <v>288</v>
      </c>
      <c r="P30" s="328">
        <f>mas</f>
        <v>18800</v>
      </c>
      <c r="Q30" s="328"/>
      <c r="R30" s="45" t="s">
        <v>21</v>
      </c>
      <c r="S30" s="295">
        <v>2.1</v>
      </c>
      <c r="T30" s="295"/>
      <c r="U30" s="45" t="s">
        <v>78</v>
      </c>
      <c r="V30" s="328">
        <f>ABS(dpress)</f>
        <v>115</v>
      </c>
      <c r="W30" s="328"/>
      <c r="X30" s="43" t="s">
        <v>289</v>
      </c>
      <c r="Y30" s="43"/>
      <c r="AC30" s="45" t="s">
        <v>52</v>
      </c>
      <c r="AD30" s="443">
        <f>M30*(P30*S30/V30)^0.5</f>
        <v>294.13952434619983</v>
      </c>
      <c r="AE30" s="443"/>
      <c r="AF30" s="43"/>
      <c r="AG30" s="43"/>
    </row>
    <row r="31" spans="1:33" ht="9.75" customHeight="1">
      <c r="A31" s="1"/>
      <c r="B31" s="1"/>
      <c r="C31" s="1"/>
      <c r="D31" s="1"/>
      <c r="E31" s="66" t="s">
        <v>292</v>
      </c>
      <c r="F31" s="43" t="s">
        <v>52</v>
      </c>
      <c r="G31" s="43" t="s">
        <v>297</v>
      </c>
      <c r="H31" s="43"/>
      <c r="I31" s="43" t="s">
        <v>52</v>
      </c>
      <c r="J31" s="328">
        <f>sh</f>
        <v>152.39999999999998</v>
      </c>
      <c r="K31" s="328"/>
      <c r="L31" s="45" t="s">
        <v>78</v>
      </c>
      <c r="M31" s="278">
        <f>AD30</f>
        <v>294.13952434619983</v>
      </c>
      <c r="N31" s="328"/>
      <c r="O31" s="45" t="s">
        <v>52</v>
      </c>
      <c r="P31" s="330">
        <f>J31/M31</f>
        <v>0.5181214606868896</v>
      </c>
      <c r="Q31" s="330"/>
      <c r="R31" s="43"/>
      <c r="S31" s="67" t="s">
        <v>294</v>
      </c>
      <c r="T31" s="43"/>
      <c r="U31" s="43" t="s">
        <v>295</v>
      </c>
      <c r="V31" s="45" t="s">
        <v>52</v>
      </c>
      <c r="W31" s="444">
        <f>jstresspara(P31)</f>
        <v>2.5</v>
      </c>
      <c r="X31" s="444"/>
      <c r="Y31" s="43"/>
      <c r="Z31" s="68" t="s">
        <v>316</v>
      </c>
      <c r="AA31" s="43"/>
      <c r="AB31" s="44"/>
      <c r="AC31" s="43"/>
      <c r="AD31" s="43"/>
      <c r="AE31" s="43"/>
      <c r="AF31" s="43"/>
      <c r="AG31" s="43"/>
    </row>
    <row r="32" spans="1:33" ht="9.75" customHeight="1">
      <c r="A32" s="6"/>
      <c r="B32" s="6"/>
      <c r="C32" s="6"/>
      <c r="D32" s="6"/>
      <c r="E32" s="44" t="s">
        <v>298</v>
      </c>
      <c r="F32" s="44" t="s">
        <v>44</v>
      </c>
      <c r="G32" s="44" t="str">
        <f>IF(J31&gt;=AD30,"t1 ( S J / P )^0.5","t1 / β ( S J / P )^0.5")</f>
        <v>t1 / β ( S J / P )^0.5</v>
      </c>
      <c r="H32" s="44"/>
      <c r="I32" s="44"/>
      <c r="J32" s="44"/>
      <c r="K32" s="44"/>
      <c r="L32" s="45" t="s">
        <v>52</v>
      </c>
      <c r="M32" s="445">
        <f>M30</f>
        <v>15.875</v>
      </c>
      <c r="N32" s="328"/>
      <c r="O32" s="45" t="s">
        <v>78</v>
      </c>
      <c r="P32" s="328">
        <f>IF(J31&gt;=AD30,1,P31)</f>
        <v>0.5181214606868896</v>
      </c>
      <c r="Q32" s="328"/>
      <c r="R32" s="45" t="s">
        <v>288</v>
      </c>
      <c r="S32" s="328">
        <f>P30</f>
        <v>18800</v>
      </c>
      <c r="T32" s="328"/>
      <c r="U32" s="45" t="s">
        <v>21</v>
      </c>
      <c r="V32" s="328">
        <f>W31</f>
        <v>2.5</v>
      </c>
      <c r="W32" s="328"/>
      <c r="X32" s="45" t="s">
        <v>78</v>
      </c>
      <c r="Y32" s="328">
        <f>V30</f>
        <v>115</v>
      </c>
      <c r="Z32" s="328"/>
      <c r="AA32" s="44" t="s">
        <v>289</v>
      </c>
      <c r="AB32" s="44"/>
      <c r="AC32" s="45" t="s">
        <v>226</v>
      </c>
      <c r="AD32" s="443">
        <f>M32/P32*(S32*V32/Y32)^0.5</f>
        <v>619.4156323186461</v>
      </c>
      <c r="AE32" s="443"/>
      <c r="AF32" s="43"/>
      <c r="AG32" s="44"/>
    </row>
    <row r="33" spans="1:33" ht="9.75" customHeight="1">
      <c r="A33" s="1"/>
      <c r="B33" s="1"/>
      <c r="C33" s="1"/>
      <c r="D33" s="1"/>
      <c r="E33" s="43" t="s">
        <v>308</v>
      </c>
      <c r="F33" s="43" t="s">
        <v>52</v>
      </c>
      <c r="G33" s="43" t="s">
        <v>301</v>
      </c>
      <c r="H33" s="43"/>
      <c r="I33" s="43"/>
      <c r="J33" s="43"/>
      <c r="K33" s="43"/>
      <c r="L33" s="45" t="s">
        <v>52</v>
      </c>
      <c r="M33" s="445">
        <f>N27</f>
        <v>25.4</v>
      </c>
      <c r="N33" s="328"/>
      <c r="O33" s="45" t="s">
        <v>288</v>
      </c>
      <c r="P33" s="328">
        <f>P30</f>
        <v>18800</v>
      </c>
      <c r="Q33" s="328"/>
      <c r="R33" s="45" t="s">
        <v>21</v>
      </c>
      <c r="S33" s="328">
        <f>S30</f>
        <v>2.1</v>
      </c>
      <c r="T33" s="328"/>
      <c r="U33" s="45" t="s">
        <v>78</v>
      </c>
      <c r="V33" s="328">
        <f>V30</f>
        <v>115</v>
      </c>
      <c r="W33" s="328"/>
      <c r="X33" s="43" t="s">
        <v>289</v>
      </c>
      <c r="Y33" s="43"/>
      <c r="AC33" s="45" t="s">
        <v>52</v>
      </c>
      <c r="AD33" s="443">
        <f>M33*(P33*S33/V33)^0.5</f>
        <v>470.6232389539197</v>
      </c>
      <c r="AE33" s="443"/>
      <c r="AF33" s="43"/>
      <c r="AG33" s="43"/>
    </row>
    <row r="34" spans="1:33" ht="9.75" customHeight="1">
      <c r="A34" s="1"/>
      <c r="B34" s="1"/>
      <c r="C34" s="1"/>
      <c r="D34" s="1"/>
      <c r="E34" s="66" t="s">
        <v>292</v>
      </c>
      <c r="F34" s="43" t="s">
        <v>52</v>
      </c>
      <c r="G34" s="43" t="s">
        <v>309</v>
      </c>
      <c r="H34" s="43"/>
      <c r="I34" s="43" t="s">
        <v>52</v>
      </c>
      <c r="J34" s="328">
        <f>lh</f>
        <v>342.9</v>
      </c>
      <c r="K34" s="328"/>
      <c r="L34" s="45" t="s">
        <v>78</v>
      </c>
      <c r="M34" s="278">
        <f>AD33</f>
        <v>470.6232389539197</v>
      </c>
      <c r="N34" s="328"/>
      <c r="O34" s="45" t="s">
        <v>52</v>
      </c>
      <c r="P34" s="330">
        <f>J34/M34</f>
        <v>0.7286083040909386</v>
      </c>
      <c r="Q34" s="330"/>
      <c r="R34" s="43"/>
      <c r="S34" s="67" t="s">
        <v>294</v>
      </c>
      <c r="T34" s="43"/>
      <c r="U34" s="43" t="s">
        <v>295</v>
      </c>
      <c r="V34" s="45" t="s">
        <v>52</v>
      </c>
      <c r="W34" s="444">
        <f>jstresspara(P34)</f>
        <v>3.6</v>
      </c>
      <c r="X34" s="444"/>
      <c r="Y34" s="43"/>
      <c r="Z34" s="68" t="s">
        <v>296</v>
      </c>
      <c r="AA34" s="43"/>
      <c r="AB34" s="44"/>
      <c r="AC34" s="43"/>
      <c r="AD34" s="43"/>
      <c r="AE34" s="43"/>
      <c r="AF34" s="43"/>
      <c r="AG34" s="43"/>
    </row>
    <row r="35" spans="1:33" ht="9.75" customHeight="1">
      <c r="A35" s="1"/>
      <c r="B35" s="1"/>
      <c r="C35" s="1"/>
      <c r="D35" s="1"/>
      <c r="E35" s="44" t="s">
        <v>300</v>
      </c>
      <c r="F35" s="44" t="s">
        <v>44</v>
      </c>
      <c r="G35" s="44" t="str">
        <f>IF(J34&gt;=AD33,"t2 ( S J / P )^0.5","t2 / β ( S J / P )^0.5")</f>
        <v>t2 / β ( S J / P )^0.5</v>
      </c>
      <c r="H35" s="44"/>
      <c r="I35" s="44"/>
      <c r="J35" s="44"/>
      <c r="K35" s="44"/>
      <c r="L35" s="45" t="s">
        <v>52</v>
      </c>
      <c r="M35" s="445">
        <f>M33</f>
        <v>25.4</v>
      </c>
      <c r="N35" s="328"/>
      <c r="O35" s="45" t="s">
        <v>78</v>
      </c>
      <c r="P35" s="328">
        <f>IF(J34&gt;=AA31,1,P32)</f>
        <v>1</v>
      </c>
      <c r="Q35" s="328"/>
      <c r="R35" s="45" t="s">
        <v>288</v>
      </c>
      <c r="S35" s="491">
        <f>P33</f>
        <v>18800</v>
      </c>
      <c r="T35" s="491"/>
      <c r="U35" s="45" t="s">
        <v>21</v>
      </c>
      <c r="V35" s="328">
        <f>W34</f>
        <v>3.6</v>
      </c>
      <c r="W35" s="328"/>
      <c r="X35" s="45" t="s">
        <v>78</v>
      </c>
      <c r="Y35" s="328">
        <f>V33</f>
        <v>115</v>
      </c>
      <c r="Z35" s="328"/>
      <c r="AA35" s="44" t="s">
        <v>289</v>
      </c>
      <c r="AB35" s="44"/>
      <c r="AC35" s="45" t="s">
        <v>226</v>
      </c>
      <c r="AD35" s="443">
        <f>M35/P35*(S35*V35/Y35)^0.5</f>
        <v>616.190461803322</v>
      </c>
      <c r="AE35" s="443"/>
      <c r="AF35" s="43"/>
      <c r="AG35" s="43"/>
    </row>
    <row r="36" spans="1:33" ht="9.75" customHeight="1">
      <c r="A36" s="6"/>
      <c r="B36" s="6"/>
      <c r="C36" s="6"/>
      <c r="D36" s="6"/>
      <c r="E36" s="43" t="s">
        <v>314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3"/>
      <c r="AC36" s="43"/>
      <c r="AD36" s="43"/>
      <c r="AE36" s="43"/>
      <c r="AF36" s="43"/>
      <c r="AG36" s="44"/>
    </row>
    <row r="37" spans="1:33" ht="9.75" customHeight="1">
      <c r="A37" s="6"/>
      <c r="B37" s="6"/>
      <c r="C37" s="6"/>
      <c r="D37" s="6"/>
      <c r="E37" s="44" t="s">
        <v>313</v>
      </c>
      <c r="F37" s="44"/>
      <c r="G37" s="44" t="s">
        <v>302</v>
      </c>
      <c r="H37" s="44" t="s">
        <v>303</v>
      </c>
      <c r="I37" s="44"/>
      <c r="J37" s="44"/>
      <c r="K37" s="44"/>
      <c r="L37" s="44"/>
      <c r="M37" s="44"/>
      <c r="Q37" s="44"/>
      <c r="R37" s="44"/>
      <c r="S37" s="44"/>
      <c r="T37" s="44"/>
      <c r="U37" s="44"/>
      <c r="V37" s="45" t="s">
        <v>302</v>
      </c>
      <c r="W37" s="492">
        <f>IF(AD32&lt;=AD35,AD32,AD35)</f>
        <v>616.190461803322</v>
      </c>
      <c r="X37" s="492"/>
      <c r="Y37" s="44"/>
      <c r="Z37" s="44"/>
      <c r="AA37" s="69" t="s">
        <v>324</v>
      </c>
      <c r="AB37" s="44"/>
      <c r="AC37" s="43"/>
      <c r="AD37" s="43"/>
      <c r="AE37" s="43"/>
      <c r="AF37" s="327">
        <f>stfnpcha</f>
        <v>329</v>
      </c>
      <c r="AG37" s="327"/>
    </row>
    <row r="38" spans="1:33" ht="9.75" customHeight="1">
      <c r="A38" s="1"/>
      <c r="B38" s="1"/>
      <c r="C38" s="1"/>
      <c r="D38" s="1"/>
      <c r="E38" s="43" t="s">
        <v>304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68" t="s">
        <v>358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 t="s">
        <v>360</v>
      </c>
      <c r="AB38" s="43"/>
      <c r="AC38" s="44"/>
      <c r="AD38" s="43"/>
      <c r="AE38" s="43"/>
      <c r="AF38" s="43"/>
      <c r="AG38" s="43"/>
    </row>
    <row r="39" spans="1:33" ht="9.75" customHeight="1">
      <c r="A39" s="1"/>
      <c r="B39" s="1"/>
      <c r="C39" s="1"/>
      <c r="D39" s="1"/>
      <c r="E39" s="47" t="s">
        <v>305</v>
      </c>
      <c r="F39" s="47" t="s">
        <v>275</v>
      </c>
      <c r="G39" s="47" t="s">
        <v>306</v>
      </c>
      <c r="H39" s="47"/>
      <c r="I39" s="47"/>
      <c r="J39" s="47"/>
      <c r="K39" s="51" t="s">
        <v>275</v>
      </c>
      <c r="L39" s="493">
        <f>MIN(M30,M33)</f>
        <v>15.875</v>
      </c>
      <c r="M39" s="321"/>
      <c r="N39" s="51" t="s">
        <v>45</v>
      </c>
      <c r="O39" s="321">
        <f>pressconv((IF(mindex(shellm,2)="C.S.",6000,IF(mindex(shellm,2)="SUS",5840)))^2,"psi.g",dpu)^0.5</f>
        <v>6000</v>
      </c>
      <c r="P39" s="321"/>
      <c r="Q39" s="51" t="s">
        <v>46</v>
      </c>
      <c r="R39" s="321">
        <f>mys</f>
        <v>38000</v>
      </c>
      <c r="S39" s="321"/>
      <c r="T39" s="47" t="s">
        <v>307</v>
      </c>
      <c r="U39" s="47"/>
      <c r="V39" s="51" t="s">
        <v>275</v>
      </c>
      <c r="W39" s="495">
        <f>L39*O39/R39^0.5</f>
        <v>488.62219018055464</v>
      </c>
      <c r="X39" s="495"/>
      <c r="Y39" s="467" t="s">
        <v>310</v>
      </c>
      <c r="Z39" s="467"/>
      <c r="AA39" s="496">
        <f>MIN(W39,W37,AF37)</f>
        <v>329</v>
      </c>
      <c r="AB39" s="496"/>
      <c r="AC39" s="46"/>
      <c r="AD39" s="47"/>
      <c r="AE39" s="47"/>
      <c r="AF39" s="47"/>
      <c r="AG39" s="47"/>
    </row>
    <row r="40" spans="1:33" ht="9.75" customHeight="1">
      <c r="A40" s="6"/>
      <c r="B40" s="6"/>
      <c r="C40" s="6"/>
      <c r="D40" s="7"/>
      <c r="E40" s="46"/>
      <c r="F40" s="46"/>
      <c r="G40" s="46"/>
      <c r="H40" s="46"/>
      <c r="I40" s="46"/>
      <c r="J40" s="70" t="s">
        <v>325</v>
      </c>
      <c r="K40" s="47" t="s">
        <v>52</v>
      </c>
      <c r="L40" s="47" t="s">
        <v>326</v>
      </c>
      <c r="M40" s="46"/>
      <c r="N40" s="47"/>
      <c r="O40" s="51" t="s">
        <v>52</v>
      </c>
      <c r="P40" s="280">
        <f>sh+2*(N27+E26)</f>
        <v>291.85465282440646</v>
      </c>
      <c r="Q40" s="280"/>
      <c r="R40" s="280"/>
      <c r="S40" s="51" t="s">
        <v>78</v>
      </c>
      <c r="T40" s="280">
        <f>lh+2*(N17+E16)</f>
        <v>438.8239549934687</v>
      </c>
      <c r="U40" s="280"/>
      <c r="V40" s="280"/>
      <c r="W40" s="71"/>
      <c r="X40" s="47"/>
      <c r="Y40" s="46"/>
      <c r="Z40" s="51" t="s">
        <v>327</v>
      </c>
      <c r="AA40" s="494">
        <f>P40/T40</f>
        <v>0.6650836844783241</v>
      </c>
      <c r="AB40" s="494"/>
      <c r="AC40" s="46"/>
      <c r="AD40" s="47"/>
      <c r="AE40" s="47"/>
      <c r="AF40" s="47"/>
      <c r="AG40" s="47"/>
    </row>
    <row r="41" spans="1:34" ht="9.75" customHeight="1">
      <c r="A41" s="1"/>
      <c r="B41" s="1"/>
      <c r="C41" s="1"/>
      <c r="D41" s="488" t="s">
        <v>345</v>
      </c>
      <c r="E41" s="72" t="s">
        <v>106</v>
      </c>
      <c r="F41" s="10"/>
      <c r="G41" s="10"/>
      <c r="H41" s="10"/>
      <c r="I41" s="10"/>
      <c r="J41" s="73" t="s">
        <v>329</v>
      </c>
      <c r="K41" s="10" t="s">
        <v>330</v>
      </c>
      <c r="L41" s="10" t="s">
        <v>332</v>
      </c>
      <c r="M41" s="10"/>
      <c r="N41" s="10"/>
      <c r="O41" s="10"/>
      <c r="P41" s="371">
        <f>AF25</f>
        <v>51704207.759503715</v>
      </c>
      <c r="Q41" s="371"/>
      <c r="R41" s="371"/>
      <c r="S41" s="22" t="s">
        <v>78</v>
      </c>
      <c r="T41" s="371">
        <f>AF15</f>
        <v>18644125.650195394</v>
      </c>
      <c r="U41" s="371"/>
      <c r="V41" s="371"/>
      <c r="W41" s="22" t="s">
        <v>21</v>
      </c>
      <c r="X41" s="260">
        <f>AA40</f>
        <v>0.6650836844783241</v>
      </c>
      <c r="Y41" s="260"/>
      <c r="Z41" s="22" t="s">
        <v>331</v>
      </c>
      <c r="AA41" s="497">
        <f>P41/T41*X41</f>
        <v>1.8444214357331954</v>
      </c>
      <c r="AB41" s="497"/>
      <c r="AC41" s="23"/>
      <c r="AD41" s="316" t="s">
        <v>137</v>
      </c>
      <c r="AE41" s="316"/>
      <c r="AF41" s="316"/>
      <c r="AG41" s="10"/>
      <c r="AH41" s="10"/>
    </row>
    <row r="42" spans="1:34" ht="9.75" customHeight="1">
      <c r="A42" s="1"/>
      <c r="B42" s="1"/>
      <c r="C42" s="1"/>
      <c r="D42" s="489"/>
      <c r="E42" s="474" t="s">
        <v>241</v>
      </c>
      <c r="F42" s="372"/>
      <c r="G42" s="367" t="s">
        <v>226</v>
      </c>
      <c r="H42" s="275" t="s">
        <v>242</v>
      </c>
      <c r="I42" s="275"/>
      <c r="J42" s="275"/>
      <c r="K42" s="275"/>
      <c r="L42" s="369" t="s">
        <v>226</v>
      </c>
      <c r="M42" s="275">
        <f>dpress</f>
        <v>-115</v>
      </c>
      <c r="N42" s="275"/>
      <c r="O42" s="21" t="s">
        <v>21</v>
      </c>
      <c r="P42" s="275">
        <f>lh</f>
        <v>342.9</v>
      </c>
      <c r="Q42" s="275"/>
      <c r="R42" s="21" t="s">
        <v>21</v>
      </c>
      <c r="S42" s="275">
        <f>AF37</f>
        <v>329</v>
      </c>
      <c r="T42" s="275"/>
      <c r="U42" s="1"/>
      <c r="V42" s="1"/>
      <c r="W42" s="122">
        <v>1</v>
      </c>
      <c r="X42" s="369" t="s">
        <v>243</v>
      </c>
      <c r="Y42" s="397">
        <f>M42*P42*S42/2/(N43+Q43*T43)/W43</f>
        <v>-1100.4479871749197</v>
      </c>
      <c r="Z42" s="397"/>
      <c r="AA42" s="498" t="str">
        <f>upsx(dpu)</f>
        <v>psi</v>
      </c>
      <c r="AB42" s="498"/>
      <c r="AC42" s="472" t="str">
        <f>IF(Y42&lt;=AD42,"&lt;","&gt;")</f>
        <v>&lt;</v>
      </c>
      <c r="AD42" s="480">
        <f>mas</f>
        <v>18800</v>
      </c>
      <c r="AE42" s="480"/>
      <c r="AF42" s="480"/>
      <c r="AG42" s="479" t="str">
        <f>IF(ABS(Y42)&lt;=ABS(AD42),"OK !","NO !")</f>
        <v>OK !</v>
      </c>
      <c r="AH42" s="479"/>
    </row>
    <row r="43" spans="1:34" ht="9.75" customHeight="1">
      <c r="A43" s="1"/>
      <c r="B43" s="1"/>
      <c r="C43" s="1"/>
      <c r="D43" s="489"/>
      <c r="E43" s="474"/>
      <c r="F43" s="372"/>
      <c r="G43" s="367"/>
      <c r="H43" s="227" t="s">
        <v>555</v>
      </c>
      <c r="I43" s="227"/>
      <c r="J43" s="227"/>
      <c r="K43" s="227"/>
      <c r="L43" s="369"/>
      <c r="M43" s="41" t="s">
        <v>262</v>
      </c>
      <c r="N43" s="371">
        <f>X16</f>
        <v>2145.5</v>
      </c>
      <c r="O43" s="227"/>
      <c r="P43" s="22" t="s">
        <v>61</v>
      </c>
      <c r="Q43" s="227">
        <f>S42</f>
        <v>329</v>
      </c>
      <c r="R43" s="227"/>
      <c r="S43" s="22" t="s">
        <v>21</v>
      </c>
      <c r="T43" s="384">
        <f>N17</f>
        <v>15.875</v>
      </c>
      <c r="U43" s="227"/>
      <c r="V43" s="22" t="s">
        <v>263</v>
      </c>
      <c r="W43" s="123">
        <f>jen</f>
        <v>0.8</v>
      </c>
      <c r="X43" s="369"/>
      <c r="Y43" s="397"/>
      <c r="Z43" s="397"/>
      <c r="AA43" s="498"/>
      <c r="AB43" s="498"/>
      <c r="AC43" s="472"/>
      <c r="AD43" s="480"/>
      <c r="AE43" s="480"/>
      <c r="AF43" s="480"/>
      <c r="AG43" s="479"/>
      <c r="AH43" s="479"/>
    </row>
    <row r="44" spans="1:34" ht="9.75" customHeight="1">
      <c r="A44" s="6"/>
      <c r="B44" s="6"/>
      <c r="C44" s="6"/>
      <c r="D44" s="489"/>
      <c r="E44" s="74" t="s">
        <v>246</v>
      </c>
      <c r="F44" s="6"/>
      <c r="G44" s="6"/>
      <c r="H44" s="1"/>
      <c r="I44" s="1"/>
      <c r="J44" s="1"/>
      <c r="K44" s="1"/>
      <c r="L44" s="1"/>
      <c r="M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"/>
      <c r="AE44" s="1"/>
      <c r="AF44" s="1"/>
      <c r="AG44" s="1"/>
      <c r="AH44" s="1"/>
    </row>
    <row r="45" spans="1:34" ht="9.75" customHeight="1">
      <c r="A45" s="1"/>
      <c r="B45" s="1"/>
      <c r="C45" s="1"/>
      <c r="D45" s="489"/>
      <c r="E45" s="474" t="s">
        <v>244</v>
      </c>
      <c r="F45" s="372"/>
      <c r="G45" s="367" t="s">
        <v>226</v>
      </c>
      <c r="H45" s="275" t="s">
        <v>245</v>
      </c>
      <c r="I45" s="275"/>
      <c r="J45" s="275"/>
      <c r="K45" s="275"/>
      <c r="L45" s="369" t="s">
        <v>226</v>
      </c>
      <c r="M45" s="275">
        <f>dpress</f>
        <v>-115</v>
      </c>
      <c r="N45" s="275"/>
      <c r="O45" s="21" t="s">
        <v>21</v>
      </c>
      <c r="P45" s="275">
        <f>sh</f>
        <v>152.39999999999998</v>
      </c>
      <c r="Q45" s="275"/>
      <c r="R45" s="21" t="s">
        <v>21</v>
      </c>
      <c r="S45" s="275">
        <f>AF37</f>
        <v>329</v>
      </c>
      <c r="T45" s="275"/>
      <c r="U45" s="1"/>
      <c r="V45" s="1"/>
      <c r="W45" s="117">
        <v>1</v>
      </c>
      <c r="X45" s="369" t="s">
        <v>243</v>
      </c>
      <c r="Y45" s="397">
        <f>M45*P45*S45/2/(N46+Q46*T46)/W46</f>
        <v>-413.63608973365695</v>
      </c>
      <c r="Z45" s="397"/>
      <c r="AA45" s="498" t="str">
        <f>upsx(dpu)</f>
        <v>psi</v>
      </c>
      <c r="AB45" s="498"/>
      <c r="AC45" s="472" t="str">
        <f>IF(Y45&lt;=AD45,"&lt;","&gt;")</f>
        <v>&lt;</v>
      </c>
      <c r="AD45" s="480">
        <f>mas</f>
        <v>18800</v>
      </c>
      <c r="AE45" s="480"/>
      <c r="AF45" s="480"/>
      <c r="AG45" s="479" t="str">
        <f>IF(ABS(Y45)&lt;=ABS(AD45),"OK !","NO !")</f>
        <v>OK !</v>
      </c>
      <c r="AH45" s="479"/>
    </row>
    <row r="46" spans="1:34" ht="9.75" customHeight="1">
      <c r="A46" s="1"/>
      <c r="B46" s="1"/>
      <c r="C46" s="1"/>
      <c r="D46" s="490"/>
      <c r="E46" s="475"/>
      <c r="F46" s="476"/>
      <c r="G46" s="477"/>
      <c r="H46" s="228" t="s">
        <v>556</v>
      </c>
      <c r="I46" s="228"/>
      <c r="J46" s="228"/>
      <c r="K46" s="228"/>
      <c r="L46" s="473"/>
      <c r="M46" s="61" t="s">
        <v>262</v>
      </c>
      <c r="N46" s="429">
        <f>X26</f>
        <v>3260</v>
      </c>
      <c r="O46" s="228"/>
      <c r="P46" s="59" t="s">
        <v>61</v>
      </c>
      <c r="Q46" s="228">
        <f>S45</f>
        <v>329</v>
      </c>
      <c r="R46" s="228"/>
      <c r="S46" s="59" t="s">
        <v>21</v>
      </c>
      <c r="T46" s="395">
        <f>N27</f>
        <v>25.4</v>
      </c>
      <c r="U46" s="228"/>
      <c r="V46" s="59" t="s">
        <v>263</v>
      </c>
      <c r="W46" s="124">
        <f>jem</f>
        <v>0.6</v>
      </c>
      <c r="X46" s="473"/>
      <c r="Y46" s="500"/>
      <c r="Z46" s="500"/>
      <c r="AA46" s="499"/>
      <c r="AB46" s="499"/>
      <c r="AC46" s="482"/>
      <c r="AD46" s="481"/>
      <c r="AE46" s="481"/>
      <c r="AF46" s="481"/>
      <c r="AG46" s="484"/>
      <c r="AH46" s="484"/>
    </row>
    <row r="47" spans="1:29" ht="9.75" customHeight="1">
      <c r="A47" s="1"/>
      <c r="B47" s="1"/>
      <c r="C47" s="1"/>
      <c r="D47" s="488" t="s">
        <v>338</v>
      </c>
      <c r="E47" s="9" t="str">
        <f>E41</f>
        <v>Short Side Plate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X47" s="3"/>
      <c r="Y47" s="3"/>
      <c r="AC47" s="3"/>
    </row>
    <row r="48" spans="1:34" ht="9.75" customHeight="1">
      <c r="A48" s="1"/>
      <c r="B48" s="1"/>
      <c r="C48" s="1"/>
      <c r="D48" s="489"/>
      <c r="E48" s="1"/>
      <c r="F48" s="372" t="s">
        <v>386</v>
      </c>
      <c r="G48" s="372"/>
      <c r="H48" s="367" t="s">
        <v>226</v>
      </c>
      <c r="I48" s="275" t="s">
        <v>247</v>
      </c>
      <c r="J48" s="275"/>
      <c r="K48" s="369" t="s">
        <v>228</v>
      </c>
      <c r="L48" s="368" t="s">
        <v>249</v>
      </c>
      <c r="M48" s="368"/>
      <c r="N48" s="368"/>
      <c r="O48" s="368"/>
      <c r="P48" s="275" t="s">
        <v>362</v>
      </c>
      <c r="Q48" s="275"/>
      <c r="R48" s="275"/>
      <c r="S48" s="369" t="s">
        <v>229</v>
      </c>
      <c r="T48" s="21">
        <v>1</v>
      </c>
      <c r="U48" s="9" t="s">
        <v>339</v>
      </c>
      <c r="Y48" s="2" t="s">
        <v>336</v>
      </c>
      <c r="Z48" s="389">
        <f>E13</f>
        <v>-133.78802250326564</v>
      </c>
      <c r="AA48" s="304"/>
      <c r="AB48" s="56" t="s">
        <v>294</v>
      </c>
      <c r="AC48" s="55" t="s">
        <v>226</v>
      </c>
      <c r="AD48" s="383">
        <f>I50*L50*Z48/I51/L51*(-3*T50^2+2*X50^2*((1+AB50^2*AE50)/(1+AE51)))/AH51</f>
        <v>1137.5741608972066</v>
      </c>
      <c r="AE48" s="383"/>
      <c r="AF48" s="383"/>
      <c r="AG48" s="54" t="str">
        <f>AA42</f>
        <v>psi</v>
      </c>
      <c r="AH48" s="54"/>
    </row>
    <row r="49" spans="1:34" ht="9.75" customHeight="1">
      <c r="A49" s="1"/>
      <c r="B49" s="1"/>
      <c r="C49" s="1"/>
      <c r="D49" s="489"/>
      <c r="E49" s="1"/>
      <c r="F49" s="372"/>
      <c r="G49" s="372"/>
      <c r="H49" s="367"/>
      <c r="I49" s="227" t="s">
        <v>252</v>
      </c>
      <c r="J49" s="227"/>
      <c r="K49" s="369"/>
      <c r="L49" s="368"/>
      <c r="M49" s="368"/>
      <c r="N49" s="368"/>
      <c r="O49" s="368"/>
      <c r="P49" s="227" t="s">
        <v>333</v>
      </c>
      <c r="Q49" s="227"/>
      <c r="R49" s="227"/>
      <c r="S49" s="369"/>
      <c r="T49" s="22" t="s">
        <v>553</v>
      </c>
      <c r="U49" s="9" t="s">
        <v>337</v>
      </c>
      <c r="Y49" s="2" t="s">
        <v>336</v>
      </c>
      <c r="Z49" s="389">
        <f>E16</f>
        <v>32.086977496734356</v>
      </c>
      <c r="AA49" s="304"/>
      <c r="AB49" s="56" t="s">
        <v>294</v>
      </c>
      <c r="AC49" s="55" t="s">
        <v>226</v>
      </c>
      <c r="AD49" s="383">
        <f>I50*L50*Z49/I51/L51*(-3*T50^2+2*X50^2*((1+AB50^2*AE50)/(1+AE51)))/AH51</f>
        <v>-272.82947919111496</v>
      </c>
      <c r="AE49" s="383"/>
      <c r="AF49" s="383"/>
      <c r="AG49" s="54" t="str">
        <f>AG48</f>
        <v>psi</v>
      </c>
      <c r="AH49" s="54"/>
    </row>
    <row r="50" spans="1:34" ht="9.75" customHeight="1">
      <c r="A50" s="1"/>
      <c r="B50" s="1"/>
      <c r="C50" s="1"/>
      <c r="D50" s="489"/>
      <c r="E50" s="1"/>
      <c r="F50" s="1"/>
      <c r="G50" s="1"/>
      <c r="H50" s="367" t="s">
        <v>226</v>
      </c>
      <c r="I50" s="275">
        <f>M42</f>
        <v>-115</v>
      </c>
      <c r="J50" s="275"/>
      <c r="K50" s="21" t="s">
        <v>227</v>
      </c>
      <c r="L50" s="370">
        <f>S42</f>
        <v>329</v>
      </c>
      <c r="M50" s="370"/>
      <c r="N50" s="8" t="s">
        <v>21</v>
      </c>
      <c r="O50" s="304" t="s">
        <v>335</v>
      </c>
      <c r="P50" s="304"/>
      <c r="Q50" s="369" t="s">
        <v>228</v>
      </c>
      <c r="R50" s="368" t="s">
        <v>248</v>
      </c>
      <c r="S50" s="368"/>
      <c r="T50" s="369">
        <f>sh</f>
        <v>152.39999999999998</v>
      </c>
      <c r="U50" s="369"/>
      <c r="V50" s="367" t="s">
        <v>230</v>
      </c>
      <c r="W50" s="485" t="s">
        <v>328</v>
      </c>
      <c r="X50" s="369">
        <f>lh</f>
        <v>342.9</v>
      </c>
      <c r="Y50" s="369"/>
      <c r="Z50" s="367" t="s">
        <v>232</v>
      </c>
      <c r="AA50" s="2" t="s">
        <v>149</v>
      </c>
      <c r="AB50" s="361">
        <f>AA40</f>
        <v>0.6650836844783241</v>
      </c>
      <c r="AC50" s="361"/>
      <c r="AD50" s="33" t="s">
        <v>233</v>
      </c>
      <c r="AE50" s="361">
        <f>AA41</f>
        <v>1.8444214357331954</v>
      </c>
      <c r="AF50" s="361"/>
      <c r="AG50" s="369" t="s">
        <v>229</v>
      </c>
      <c r="AH50" s="21">
        <v>1</v>
      </c>
    </row>
    <row r="51" spans="1:34" ht="9.75" customHeight="1">
      <c r="A51" s="6"/>
      <c r="B51" s="6"/>
      <c r="C51" s="6"/>
      <c r="D51" s="489"/>
      <c r="E51" s="6"/>
      <c r="F51" s="6"/>
      <c r="G51" s="6"/>
      <c r="H51" s="367"/>
      <c r="I51" s="227">
        <v>24</v>
      </c>
      <c r="J51" s="227"/>
      <c r="K51" s="22" t="s">
        <v>227</v>
      </c>
      <c r="L51" s="486">
        <f>AF15</f>
        <v>18644125.650195394</v>
      </c>
      <c r="M51" s="486"/>
      <c r="N51" s="486"/>
      <c r="O51" s="10"/>
      <c r="P51" s="10"/>
      <c r="Q51" s="369"/>
      <c r="R51" s="368"/>
      <c r="S51" s="368"/>
      <c r="T51" s="369"/>
      <c r="U51" s="369"/>
      <c r="V51" s="367"/>
      <c r="W51" s="485"/>
      <c r="X51" s="369"/>
      <c r="Y51" s="369"/>
      <c r="Z51" s="367"/>
      <c r="AA51" s="23" t="s">
        <v>149</v>
      </c>
      <c r="AB51" s="23"/>
      <c r="AC51" s="23"/>
      <c r="AD51" s="23"/>
      <c r="AE51" s="260">
        <f>AE50</f>
        <v>1.8444214357331954</v>
      </c>
      <c r="AF51" s="260"/>
      <c r="AG51" s="369"/>
      <c r="AH51" s="116">
        <f>jen</f>
        <v>0.8</v>
      </c>
    </row>
    <row r="52" spans="1:33" ht="9.75" customHeight="1">
      <c r="A52" s="6"/>
      <c r="B52" s="6"/>
      <c r="C52" s="6"/>
      <c r="D52" s="489"/>
      <c r="E52" s="1"/>
      <c r="F52" s="372" t="s">
        <v>387</v>
      </c>
      <c r="G52" s="372"/>
      <c r="H52" s="367" t="s">
        <v>226</v>
      </c>
      <c r="I52" s="275" t="s">
        <v>250</v>
      </c>
      <c r="J52" s="275"/>
      <c r="K52" s="275"/>
      <c r="L52" s="369" t="s">
        <v>234</v>
      </c>
      <c r="M52" s="275" t="s">
        <v>334</v>
      </c>
      <c r="N52" s="275"/>
      <c r="O52" s="275"/>
      <c r="P52" s="369" t="s">
        <v>235</v>
      </c>
      <c r="Q52" s="6"/>
      <c r="R52" s="6"/>
      <c r="S52" s="6"/>
      <c r="T52" s="6"/>
      <c r="U52" s="9" t="s">
        <v>339</v>
      </c>
      <c r="Y52" s="2" t="s">
        <v>336</v>
      </c>
      <c r="Z52" s="389">
        <f>Z48</f>
        <v>-133.78802250326564</v>
      </c>
      <c r="AA52" s="304"/>
      <c r="AB52" s="56" t="s">
        <v>294</v>
      </c>
      <c r="AC52" s="55" t="s">
        <v>226</v>
      </c>
      <c r="AD52" s="383">
        <f>I54*L54^2*O54*Z52/I55/L55*((1+V54^2*Y54)/(1+Y55))</f>
        <v>1698.2819575324982</v>
      </c>
      <c r="AE52" s="383"/>
      <c r="AF52" s="383"/>
      <c r="AG52" s="54" t="str">
        <f>AG48</f>
        <v>psi</v>
      </c>
    </row>
    <row r="53" spans="1:33" ht="9.75" customHeight="1">
      <c r="A53" s="6"/>
      <c r="B53" s="6"/>
      <c r="C53" s="6"/>
      <c r="D53" s="489"/>
      <c r="E53" s="6"/>
      <c r="F53" s="372"/>
      <c r="G53" s="372"/>
      <c r="H53" s="367"/>
      <c r="I53" s="227" t="s">
        <v>251</v>
      </c>
      <c r="J53" s="227"/>
      <c r="K53" s="227"/>
      <c r="L53" s="369"/>
      <c r="M53" s="227" t="s">
        <v>333</v>
      </c>
      <c r="N53" s="227"/>
      <c r="O53" s="227"/>
      <c r="P53" s="369"/>
      <c r="Q53" s="6"/>
      <c r="R53" s="6"/>
      <c r="S53" s="6"/>
      <c r="T53" s="6"/>
      <c r="U53" s="9" t="s">
        <v>337</v>
      </c>
      <c r="Y53" s="2" t="s">
        <v>336</v>
      </c>
      <c r="Z53" s="389">
        <f>Z49</f>
        <v>32.086977496734356</v>
      </c>
      <c r="AA53" s="304"/>
      <c r="AB53" s="56" t="s">
        <v>294</v>
      </c>
      <c r="AC53" s="55" t="s">
        <v>226</v>
      </c>
      <c r="AD53" s="383">
        <f>I54*L54^2*O54*Z53/I55/L55*((1+V54^2*Y54)/(1+Y55))</f>
        <v>-407.30652815445507</v>
      </c>
      <c r="AE53" s="383"/>
      <c r="AF53" s="383"/>
      <c r="AG53" s="54" t="str">
        <f>AG52</f>
        <v>psi</v>
      </c>
    </row>
    <row r="54" spans="1:29" ht="9.75" customHeight="1">
      <c r="A54" s="1"/>
      <c r="B54" s="1"/>
      <c r="C54" s="1"/>
      <c r="D54" s="489"/>
      <c r="E54" s="1"/>
      <c r="F54" s="1"/>
      <c r="G54" s="1"/>
      <c r="H54" s="367" t="s">
        <v>226</v>
      </c>
      <c r="I54" s="275">
        <f>I50</f>
        <v>-115</v>
      </c>
      <c r="J54" s="275"/>
      <c r="K54" s="1" t="s">
        <v>227</v>
      </c>
      <c r="L54" s="275">
        <f>X50</f>
        <v>342.9</v>
      </c>
      <c r="M54" s="275"/>
      <c r="N54" s="34" t="s">
        <v>233</v>
      </c>
      <c r="O54" s="370">
        <f>L50</f>
        <v>329</v>
      </c>
      <c r="P54" s="370"/>
      <c r="Q54" s="8" t="s">
        <v>21</v>
      </c>
      <c r="R54" s="373" t="s">
        <v>335</v>
      </c>
      <c r="S54" s="373"/>
      <c r="T54" s="369" t="s">
        <v>234</v>
      </c>
      <c r="U54" s="2" t="s">
        <v>149</v>
      </c>
      <c r="V54" s="361">
        <f>AB50</f>
        <v>0.6650836844783241</v>
      </c>
      <c r="W54" s="361"/>
      <c r="X54" s="33" t="s">
        <v>233</v>
      </c>
      <c r="Y54" s="361">
        <f>AE50</f>
        <v>1.8444214357331954</v>
      </c>
      <c r="Z54" s="361"/>
      <c r="AA54" s="369" t="s">
        <v>235</v>
      </c>
      <c r="AC54" s="3"/>
    </row>
    <row r="55" spans="1:29" ht="9.75" customHeight="1">
      <c r="A55" s="6"/>
      <c r="B55" s="6"/>
      <c r="C55" s="6"/>
      <c r="D55" s="489"/>
      <c r="E55" s="6"/>
      <c r="F55" s="6"/>
      <c r="G55" s="6"/>
      <c r="H55" s="367"/>
      <c r="I55" s="227">
        <v>12</v>
      </c>
      <c r="J55" s="227"/>
      <c r="K55" s="23" t="s">
        <v>227</v>
      </c>
      <c r="L55" s="486">
        <f>L51</f>
        <v>18644125.650195394</v>
      </c>
      <c r="M55" s="486"/>
      <c r="N55" s="486"/>
      <c r="O55" s="23"/>
      <c r="P55" s="23"/>
      <c r="Q55" s="23"/>
      <c r="R55" s="10"/>
      <c r="S55" s="23"/>
      <c r="T55" s="369"/>
      <c r="U55" s="23" t="s">
        <v>149</v>
      </c>
      <c r="V55" s="23"/>
      <c r="W55" s="23"/>
      <c r="X55" s="23"/>
      <c r="Y55" s="260">
        <f>Y54</f>
        <v>1.8444214357331954</v>
      </c>
      <c r="Z55" s="260"/>
      <c r="AA55" s="369"/>
      <c r="AC55" s="3"/>
    </row>
    <row r="56" spans="1:29" ht="9.75" customHeight="1">
      <c r="A56" s="1"/>
      <c r="B56" s="1"/>
      <c r="C56" s="1"/>
      <c r="D56" s="489"/>
      <c r="E56" s="9" t="str">
        <f>E44</f>
        <v>Long Side Plate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</row>
    <row r="57" spans="1:33" ht="9.75" customHeight="1">
      <c r="A57" s="1"/>
      <c r="B57" s="1"/>
      <c r="C57" s="1"/>
      <c r="D57" s="489"/>
      <c r="E57" s="1"/>
      <c r="F57" s="372" t="s">
        <v>388</v>
      </c>
      <c r="G57" s="372"/>
      <c r="H57" s="367" t="s">
        <v>226</v>
      </c>
      <c r="I57" s="275" t="s">
        <v>250</v>
      </c>
      <c r="J57" s="275"/>
      <c r="K57" s="275"/>
      <c r="L57" s="369" t="s">
        <v>228</v>
      </c>
      <c r="M57" s="368" t="s">
        <v>253</v>
      </c>
      <c r="N57" s="368"/>
      <c r="O57" s="275" t="s">
        <v>334</v>
      </c>
      <c r="P57" s="275"/>
      <c r="Q57" s="275"/>
      <c r="R57" s="369" t="s">
        <v>236</v>
      </c>
      <c r="S57" s="21">
        <v>1</v>
      </c>
      <c r="T57" s="25"/>
      <c r="U57" s="9" t="s">
        <v>339</v>
      </c>
      <c r="Y57" s="2" t="s">
        <v>336</v>
      </c>
      <c r="Z57" s="389">
        <f>E23</f>
        <v>-181.07267358779677</v>
      </c>
      <c r="AA57" s="304"/>
      <c r="AB57" s="56" t="s">
        <v>294</v>
      </c>
      <c r="AC57" s="55" t="s">
        <v>226</v>
      </c>
      <c r="AD57" s="383">
        <f>I59*L59^2*O59*Z57/I60/L60*(-3+2*(1+X59^2*AA59)/(1+AA60))/AD60</f>
        <v>-1864.374675893465</v>
      </c>
      <c r="AE57" s="383"/>
      <c r="AF57" s="383"/>
      <c r="AG57" s="54" t="str">
        <f>AA45</f>
        <v>psi</v>
      </c>
    </row>
    <row r="58" spans="1:33" ht="9.75" customHeight="1">
      <c r="A58" s="1"/>
      <c r="B58" s="1"/>
      <c r="C58" s="1"/>
      <c r="D58" s="489"/>
      <c r="E58" s="1"/>
      <c r="F58" s="372"/>
      <c r="G58" s="372"/>
      <c r="H58" s="367"/>
      <c r="I58" s="227" t="s">
        <v>254</v>
      </c>
      <c r="J58" s="227"/>
      <c r="K58" s="227"/>
      <c r="L58" s="369"/>
      <c r="M58" s="368"/>
      <c r="N58" s="368"/>
      <c r="O58" s="227" t="s">
        <v>333</v>
      </c>
      <c r="P58" s="227"/>
      <c r="Q58" s="227"/>
      <c r="R58" s="369"/>
      <c r="S58" s="22" t="s">
        <v>547</v>
      </c>
      <c r="T58" s="25"/>
      <c r="U58" s="9" t="s">
        <v>337</v>
      </c>
      <c r="Y58" s="2" t="s">
        <v>336</v>
      </c>
      <c r="Z58" s="389">
        <f>E26</f>
        <v>44.32732641220323</v>
      </c>
      <c r="AA58" s="304"/>
      <c r="AB58" s="56" t="s">
        <v>294</v>
      </c>
      <c r="AC58" s="55" t="s">
        <v>226</v>
      </c>
      <c r="AD58" s="383">
        <f>I59*L59^2*O59*Z58/I60/L60*(-3+2*(1+X59^2*AA59)/(1+AA60))/AD60</f>
        <v>456.40649787448024</v>
      </c>
      <c r="AE58" s="383"/>
      <c r="AF58" s="383"/>
      <c r="AG58" s="54" t="str">
        <f>AG57</f>
        <v>psi</v>
      </c>
    </row>
    <row r="59" spans="1:30" ht="9.75" customHeight="1">
      <c r="A59" s="1"/>
      <c r="B59" s="1"/>
      <c r="C59" s="1"/>
      <c r="D59" s="489"/>
      <c r="E59" s="1"/>
      <c r="F59" s="1"/>
      <c r="G59" s="1"/>
      <c r="H59" s="367" t="s">
        <v>226</v>
      </c>
      <c r="I59" s="275">
        <f>M45</f>
        <v>-115</v>
      </c>
      <c r="J59" s="275"/>
      <c r="K59" s="1" t="s">
        <v>227</v>
      </c>
      <c r="L59" s="275">
        <f>L54</f>
        <v>342.9</v>
      </c>
      <c r="M59" s="275"/>
      <c r="N59" s="34" t="s">
        <v>233</v>
      </c>
      <c r="O59" s="370">
        <f>S45</f>
        <v>329</v>
      </c>
      <c r="P59" s="370"/>
      <c r="Q59" s="8" t="s">
        <v>21</v>
      </c>
      <c r="R59" s="487" t="s">
        <v>335</v>
      </c>
      <c r="S59" s="487"/>
      <c r="T59" s="369" t="s">
        <v>228</v>
      </c>
      <c r="U59" s="368" t="s">
        <v>255</v>
      </c>
      <c r="V59" s="368"/>
      <c r="W59" s="2" t="s">
        <v>149</v>
      </c>
      <c r="X59" s="361">
        <f>AA40</f>
        <v>0.6650836844783241</v>
      </c>
      <c r="Y59" s="361"/>
      <c r="Z59" s="33" t="s">
        <v>233</v>
      </c>
      <c r="AA59" s="361">
        <f>AA41</f>
        <v>1.8444214357331954</v>
      </c>
      <c r="AB59" s="361"/>
      <c r="AC59" s="369" t="s">
        <v>57</v>
      </c>
      <c r="AD59" s="21">
        <v>1</v>
      </c>
    </row>
    <row r="60" spans="1:30" ht="9.75" customHeight="1">
      <c r="A60" s="6"/>
      <c r="B60" s="6"/>
      <c r="C60" s="6"/>
      <c r="D60" s="489"/>
      <c r="E60" s="6"/>
      <c r="F60" s="6"/>
      <c r="G60" s="6"/>
      <c r="H60" s="367"/>
      <c r="I60" s="227">
        <v>24</v>
      </c>
      <c r="J60" s="227"/>
      <c r="K60" s="23" t="s">
        <v>227</v>
      </c>
      <c r="L60" s="486">
        <f>AF25</f>
        <v>51704207.759503715</v>
      </c>
      <c r="M60" s="486"/>
      <c r="N60" s="486"/>
      <c r="O60" s="23"/>
      <c r="P60" s="23"/>
      <c r="Q60" s="23"/>
      <c r="R60" s="37"/>
      <c r="S60" s="10"/>
      <c r="T60" s="369"/>
      <c r="U60" s="368"/>
      <c r="V60" s="368"/>
      <c r="W60" s="23" t="s">
        <v>149</v>
      </c>
      <c r="X60" s="23"/>
      <c r="Y60" s="23"/>
      <c r="Z60" s="23"/>
      <c r="AA60" s="260">
        <f>AA59</f>
        <v>1.8444214357331954</v>
      </c>
      <c r="AB60" s="260"/>
      <c r="AC60" s="369"/>
      <c r="AD60" s="116">
        <f>jem</f>
        <v>0.6</v>
      </c>
    </row>
    <row r="61" spans="1:33" ht="9.75" customHeight="1">
      <c r="A61" s="6"/>
      <c r="B61" s="6"/>
      <c r="C61" s="6"/>
      <c r="D61" s="489"/>
      <c r="E61" s="6"/>
      <c r="F61" s="372" t="s">
        <v>389</v>
      </c>
      <c r="G61" s="372"/>
      <c r="H61" s="367" t="s">
        <v>226</v>
      </c>
      <c r="I61" s="275" t="s">
        <v>250</v>
      </c>
      <c r="J61" s="275"/>
      <c r="K61" s="275"/>
      <c r="L61" s="369" t="s">
        <v>234</v>
      </c>
      <c r="M61" s="275" t="s">
        <v>334</v>
      </c>
      <c r="N61" s="275"/>
      <c r="O61" s="275"/>
      <c r="P61" s="369" t="s">
        <v>235</v>
      </c>
      <c r="Q61" s="6"/>
      <c r="R61" s="6"/>
      <c r="S61" s="6"/>
      <c r="T61" s="6"/>
      <c r="U61" s="9" t="s">
        <v>339</v>
      </c>
      <c r="Y61" s="2" t="s">
        <v>336</v>
      </c>
      <c r="Z61" s="389">
        <f>Z57</f>
        <v>-181.07267358779677</v>
      </c>
      <c r="AA61" s="304"/>
      <c r="AB61" s="56" t="s">
        <v>294</v>
      </c>
      <c r="AC61" s="55" t="s">
        <v>226</v>
      </c>
      <c r="AD61" s="383">
        <f>I63*L63^2*O63*Z61/I64/L64*((1+V63^2*Y63)/(1+Y64))</f>
        <v>828.8226451826898</v>
      </c>
      <c r="AE61" s="383"/>
      <c r="AF61" s="383"/>
      <c r="AG61" s="54" t="str">
        <f>AG57</f>
        <v>psi</v>
      </c>
    </row>
    <row r="62" spans="1:33" ht="9.75" customHeight="1">
      <c r="A62" s="6"/>
      <c r="B62" s="6"/>
      <c r="C62" s="6"/>
      <c r="D62" s="489"/>
      <c r="E62" s="6"/>
      <c r="F62" s="372"/>
      <c r="G62" s="372"/>
      <c r="H62" s="367"/>
      <c r="I62" s="227" t="s">
        <v>257</v>
      </c>
      <c r="J62" s="227"/>
      <c r="K62" s="227"/>
      <c r="L62" s="369"/>
      <c r="M62" s="227" t="s">
        <v>333</v>
      </c>
      <c r="N62" s="227"/>
      <c r="O62" s="227"/>
      <c r="P62" s="369"/>
      <c r="Q62" s="6"/>
      <c r="R62" s="6"/>
      <c r="S62" s="6"/>
      <c r="T62" s="6"/>
      <c r="U62" s="9" t="s">
        <v>337</v>
      </c>
      <c r="Y62" s="2" t="s">
        <v>336</v>
      </c>
      <c r="Z62" s="389">
        <f>Z58</f>
        <v>44.32732641220323</v>
      </c>
      <c r="AA62" s="304"/>
      <c r="AB62" s="56" t="s">
        <v>294</v>
      </c>
      <c r="AC62" s="55" t="s">
        <v>226</v>
      </c>
      <c r="AD62" s="383">
        <f>I63*L63^2*O63*Z62/I64/L64*((1+V63^2*Y63)/(1+Y64))</f>
        <v>-202.89915205247627</v>
      </c>
      <c r="AE62" s="383"/>
      <c r="AF62" s="383"/>
      <c r="AG62" s="54" t="str">
        <f>AG61</f>
        <v>psi</v>
      </c>
    </row>
    <row r="63" spans="1:29" ht="9.75" customHeight="1">
      <c r="A63" s="1"/>
      <c r="B63" s="1"/>
      <c r="C63" s="1"/>
      <c r="D63" s="489"/>
      <c r="E63" s="1"/>
      <c r="F63" s="1"/>
      <c r="G63" s="1"/>
      <c r="H63" s="367" t="s">
        <v>226</v>
      </c>
      <c r="I63" s="275">
        <f>I59</f>
        <v>-115</v>
      </c>
      <c r="J63" s="275"/>
      <c r="K63" s="1" t="s">
        <v>227</v>
      </c>
      <c r="L63" s="275">
        <f>L59</f>
        <v>342.9</v>
      </c>
      <c r="M63" s="275"/>
      <c r="N63" s="34" t="s">
        <v>233</v>
      </c>
      <c r="O63" s="370">
        <f>O59</f>
        <v>329</v>
      </c>
      <c r="P63" s="370"/>
      <c r="Q63" s="8" t="s">
        <v>21</v>
      </c>
      <c r="R63" s="373" t="s">
        <v>335</v>
      </c>
      <c r="S63" s="373"/>
      <c r="T63" s="369" t="s">
        <v>234</v>
      </c>
      <c r="U63" s="2" t="s">
        <v>149</v>
      </c>
      <c r="V63" s="361">
        <f>X59</f>
        <v>0.6650836844783241</v>
      </c>
      <c r="W63" s="361"/>
      <c r="X63" s="33" t="s">
        <v>233</v>
      </c>
      <c r="Y63" s="361">
        <f>AA59</f>
        <v>1.8444214357331954</v>
      </c>
      <c r="Z63" s="361"/>
      <c r="AA63" s="369" t="s">
        <v>235</v>
      </c>
      <c r="AC63" s="3"/>
    </row>
    <row r="64" spans="1:37" ht="9.75" customHeight="1">
      <c r="A64" s="6"/>
      <c r="B64" s="6"/>
      <c r="C64" s="6"/>
      <c r="D64" s="490"/>
      <c r="E64" s="6"/>
      <c r="F64" s="6"/>
      <c r="G64" s="6"/>
      <c r="H64" s="367"/>
      <c r="I64" s="227">
        <v>12</v>
      </c>
      <c r="J64" s="227"/>
      <c r="K64" s="23" t="s">
        <v>227</v>
      </c>
      <c r="L64" s="486">
        <f>L60</f>
        <v>51704207.759503715</v>
      </c>
      <c r="M64" s="486"/>
      <c r="N64" s="486"/>
      <c r="O64" s="23"/>
      <c r="P64" s="23"/>
      <c r="Q64" s="23"/>
      <c r="R64" s="23"/>
      <c r="S64" s="23"/>
      <c r="T64" s="369"/>
      <c r="U64" s="23" t="s">
        <v>149</v>
      </c>
      <c r="V64" s="23"/>
      <c r="W64" s="23"/>
      <c r="X64" s="23"/>
      <c r="Y64" s="260">
        <f>Y63</f>
        <v>1.8444214357331954</v>
      </c>
      <c r="Z64" s="260"/>
      <c r="AA64" s="369"/>
      <c r="AC64" s="3"/>
      <c r="AD64" s="483">
        <f>2/3</f>
        <v>0.6666666666666666</v>
      </c>
      <c r="AE64" s="483"/>
      <c r="AF64" s="75" t="s">
        <v>344</v>
      </c>
      <c r="AG64" s="394" t="s">
        <v>343</v>
      </c>
      <c r="AH64" s="394"/>
      <c r="AJ64" s="275" t="s">
        <v>566</v>
      </c>
      <c r="AK64" s="275"/>
    </row>
    <row r="65" spans="1:37" ht="9.75" customHeight="1">
      <c r="A65" s="1"/>
      <c r="B65" s="1"/>
      <c r="C65" s="1"/>
      <c r="D65" s="488" t="s">
        <v>361</v>
      </c>
      <c r="E65" s="75" t="str">
        <f>E41</f>
        <v>Short Side Plate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23"/>
      <c r="AD65" s="284">
        <v>1.5</v>
      </c>
      <c r="AE65" s="284"/>
      <c r="AF65" s="30" t="s">
        <v>138</v>
      </c>
      <c r="AG65" s="473"/>
      <c r="AH65" s="473"/>
      <c r="AJ65" s="360" t="s">
        <v>567</v>
      </c>
      <c r="AK65" s="360"/>
    </row>
    <row r="66" spans="1:49" ht="9.75" customHeight="1">
      <c r="A66" s="1"/>
      <c r="B66" s="1"/>
      <c r="C66" s="1"/>
      <c r="D66" s="489"/>
      <c r="E66" s="1"/>
      <c r="F66" s="9" t="s">
        <v>237</v>
      </c>
      <c r="G66" s="1"/>
      <c r="H66" s="1" t="s">
        <v>226</v>
      </c>
      <c r="I66" s="288" t="str">
        <f>E42</f>
        <v>SmS</v>
      </c>
      <c r="J66" s="288"/>
      <c r="K66" s="21" t="s">
        <v>231</v>
      </c>
      <c r="L66" s="288" t="str">
        <f>F48</f>
        <v>(Sb)N</v>
      </c>
      <c r="M66" s="288"/>
      <c r="N66" s="21" t="s">
        <v>226</v>
      </c>
      <c r="O66" s="273">
        <f>Y42</f>
        <v>-1100.4479871749197</v>
      </c>
      <c r="P66" s="275"/>
      <c r="Q66" s="275"/>
      <c r="R66" s="21" t="s">
        <v>231</v>
      </c>
      <c r="S66" s="273">
        <f>AD48</f>
        <v>1137.5741608972066</v>
      </c>
      <c r="T66" s="275"/>
      <c r="U66" s="275"/>
      <c r="V66" s="501" t="s">
        <v>368</v>
      </c>
      <c r="W66" s="501"/>
      <c r="X66" s="21" t="s">
        <v>226</v>
      </c>
      <c r="Y66" s="478">
        <f>O66+S66</f>
        <v>37.12617372228692</v>
      </c>
      <c r="Z66" s="478"/>
      <c r="AA66" s="478"/>
      <c r="AB66" s="1" t="str">
        <f>AG48</f>
        <v>psi</v>
      </c>
      <c r="AC66" s="26" t="str">
        <f>IF(ABS(Y66)&lt;=ABS(AD66),"&lt;","&gt;")</f>
        <v>&lt;</v>
      </c>
      <c r="AD66" s="365">
        <f>IF(AD65*stfnmas&lt;AD64*stfnmys,AD65*stfnmas,AD64*stfnmys)</f>
        <v>24000</v>
      </c>
      <c r="AE66" s="365"/>
      <c r="AF66" s="365"/>
      <c r="AG66" s="364" t="str">
        <f>IF(ABS(Y66)&lt;=ABS(AD66),"OK !","NO !")</f>
        <v>OK !</v>
      </c>
      <c r="AH66" s="364"/>
      <c r="AI66" s="8" t="s">
        <v>581</v>
      </c>
      <c r="AJ66" s="361">
        <f>ABS(Y66/AD66)</f>
        <v>0.0015469239050952884</v>
      </c>
      <c r="AK66" s="361"/>
      <c r="AL66" s="43" t="str">
        <f>IF(AJ66&lt;&gt;AJ76,"*","M")</f>
        <v>*</v>
      </c>
      <c r="AM66" s="362">
        <f>IF(AJ66&lt;&gt;AJ76,"",E65)</f>
      </c>
      <c r="AN66" s="328"/>
      <c r="AO66" s="328"/>
      <c r="AP66" s="363"/>
      <c r="AQ66" s="362">
        <f>IF(AJ66&lt;&gt;AJ76,"",AI66)</f>
      </c>
      <c r="AR66" s="363"/>
      <c r="AS66" s="351">
        <f>IF(AJ66&lt;&gt;AJ76,"",Y66)</f>
      </c>
      <c r="AT66" s="352"/>
      <c r="AU66" s="353">
        <f>IF(AJ66&lt;&gt;AJ76,"",AD66)</f>
      </c>
      <c r="AV66" s="353"/>
      <c r="AW66" s="135">
        <f>IF(AJ66&lt;&gt;AJ76,"",AG66)</f>
      </c>
    </row>
    <row r="67" spans="1:49" ht="9.75" customHeight="1">
      <c r="A67" s="6"/>
      <c r="B67" s="6"/>
      <c r="C67" s="6"/>
      <c r="D67" s="489"/>
      <c r="E67" s="1"/>
      <c r="F67" s="6"/>
      <c r="G67" s="6"/>
      <c r="H67" s="6"/>
      <c r="I67" s="6"/>
      <c r="J67" s="6"/>
      <c r="K67" s="6"/>
      <c r="L67" s="6"/>
      <c r="M67" s="6"/>
      <c r="N67" s="21" t="s">
        <v>226</v>
      </c>
      <c r="O67" s="273">
        <f>O66</f>
        <v>-1100.4479871749197</v>
      </c>
      <c r="P67" s="275"/>
      <c r="Q67" s="275"/>
      <c r="R67" s="21" t="s">
        <v>231</v>
      </c>
      <c r="S67" s="273">
        <f>AD49</f>
        <v>-272.82947919111496</v>
      </c>
      <c r="T67" s="275"/>
      <c r="U67" s="275"/>
      <c r="V67" s="501" t="s">
        <v>367</v>
      </c>
      <c r="W67" s="501"/>
      <c r="X67" s="21" t="s">
        <v>226</v>
      </c>
      <c r="Y67" s="478">
        <f>O67+S67</f>
        <v>-1373.2774663660348</v>
      </c>
      <c r="Z67" s="478"/>
      <c r="AA67" s="478"/>
      <c r="AB67" s="1" t="str">
        <f>AG49</f>
        <v>psi</v>
      </c>
      <c r="AC67" s="26" t="str">
        <f>IF(ABS(Y67)&lt;=ABS(AD67),"&lt;","&gt;")</f>
        <v>&lt;</v>
      </c>
      <c r="AD67" s="365">
        <f>IF(AD65*mas&lt;AD64*mys,AD65*mas,AD64*mys)</f>
        <v>25333.333333333332</v>
      </c>
      <c r="AE67" s="365"/>
      <c r="AF67" s="365"/>
      <c r="AG67" s="364" t="str">
        <f>IF(ABS(Y67)&lt;=ABS(AD67),"OK !","NO !")</f>
        <v>OK !</v>
      </c>
      <c r="AH67" s="364"/>
      <c r="AJ67" s="361">
        <f>ABS(Y67/AD67)</f>
        <v>0.054208321040764534</v>
      </c>
      <c r="AK67" s="361"/>
      <c r="AL67" s="43" t="str">
        <f>IF(AJ67&lt;&gt;AJ76,"*","M")</f>
        <v>*</v>
      </c>
      <c r="AM67" s="362">
        <f>IF(AJ67&lt;&gt;AJ76,"",E65)</f>
      </c>
      <c r="AN67" s="328"/>
      <c r="AO67" s="328"/>
      <c r="AP67" s="363"/>
      <c r="AQ67" s="362">
        <f>IF(AJ67&lt;&gt;AJ76,"",AI66)</f>
      </c>
      <c r="AR67" s="363"/>
      <c r="AS67" s="351">
        <f>IF(AJ67&lt;&gt;AJ76,"",Y67)</f>
      </c>
      <c r="AT67" s="352"/>
      <c r="AU67" s="353">
        <f>IF(AJ67&lt;&gt;AJ76,"",AD67)</f>
      </c>
      <c r="AV67" s="353"/>
      <c r="AW67" s="135">
        <f>IF(AJ67&lt;&gt;AJ76,"",AG67)</f>
      </c>
    </row>
    <row r="68" spans="1:49" ht="9.75" customHeight="1">
      <c r="A68" s="1"/>
      <c r="B68" s="1"/>
      <c r="C68" s="1"/>
      <c r="D68" s="489"/>
      <c r="E68" s="1"/>
      <c r="F68" s="9" t="s">
        <v>238</v>
      </c>
      <c r="G68" s="1"/>
      <c r="H68" s="1" t="s">
        <v>226</v>
      </c>
      <c r="I68" s="288" t="str">
        <f>E42</f>
        <v>SmS</v>
      </c>
      <c r="J68" s="288"/>
      <c r="K68" s="21" t="s">
        <v>231</v>
      </c>
      <c r="L68" s="288" t="str">
        <f>F52</f>
        <v>(Sb)QS</v>
      </c>
      <c r="M68" s="288"/>
      <c r="N68" s="21" t="s">
        <v>226</v>
      </c>
      <c r="O68" s="273">
        <f>Y42</f>
        <v>-1100.4479871749197</v>
      </c>
      <c r="P68" s="275"/>
      <c r="Q68" s="275"/>
      <c r="R68" s="21" t="s">
        <v>231</v>
      </c>
      <c r="S68" s="273">
        <f>AD52</f>
        <v>1698.2819575324982</v>
      </c>
      <c r="T68" s="275"/>
      <c r="U68" s="275"/>
      <c r="V68" s="501" t="s">
        <v>368</v>
      </c>
      <c r="W68" s="501"/>
      <c r="X68" s="21" t="s">
        <v>226</v>
      </c>
      <c r="Y68" s="478">
        <f>O68+S68</f>
        <v>597.8339703575784</v>
      </c>
      <c r="Z68" s="478"/>
      <c r="AA68" s="478"/>
      <c r="AB68" s="1" t="str">
        <f>AG52</f>
        <v>psi</v>
      </c>
      <c r="AC68" s="26" t="str">
        <f>IF(ABS(Y68)&lt;=ABS(AD68),"&lt;","&gt;")</f>
        <v>&lt;</v>
      </c>
      <c r="AD68" s="365">
        <f>AD66</f>
        <v>24000</v>
      </c>
      <c r="AE68" s="365"/>
      <c r="AF68" s="365"/>
      <c r="AG68" s="364" t="str">
        <f>IF(ABS(Y68)&lt;=ABS(AD68),"OK !","NO !")</f>
        <v>OK !</v>
      </c>
      <c r="AH68" s="364"/>
      <c r="AI68" s="8" t="s">
        <v>30</v>
      </c>
      <c r="AJ68" s="361">
        <f>ABS(Y68/AD68)</f>
        <v>0.0249097487648991</v>
      </c>
      <c r="AK68" s="361"/>
      <c r="AL68" s="43" t="str">
        <f>IF(AJ68&lt;&gt;AJ76,"*","M")</f>
        <v>*</v>
      </c>
      <c r="AM68" s="362">
        <f>IF(AJ68&lt;&gt;AJ76,"",E65)</f>
      </c>
      <c r="AN68" s="328"/>
      <c r="AO68" s="328"/>
      <c r="AP68" s="363"/>
      <c r="AQ68" s="362">
        <f>IF(AJ68&lt;&gt;AJ76,"",AI68)</f>
      </c>
      <c r="AR68" s="363"/>
      <c r="AS68" s="351">
        <f>IF(AJ68&lt;&gt;AJ76,"",Y68)</f>
      </c>
      <c r="AT68" s="352"/>
      <c r="AU68" s="353">
        <f>IF(AJ68&lt;&gt;AJ76,"",AD68)</f>
      </c>
      <c r="AV68" s="353"/>
      <c r="AW68" s="135">
        <f>IF(AJ68&lt;&gt;AJ76,"",AG68)</f>
      </c>
    </row>
    <row r="69" spans="1:49" ht="9.75" customHeight="1">
      <c r="A69" s="6"/>
      <c r="B69" s="6"/>
      <c r="C69" s="6"/>
      <c r="D69" s="489"/>
      <c r="E69" s="1"/>
      <c r="F69" s="6"/>
      <c r="G69" s="6"/>
      <c r="H69" s="6"/>
      <c r="I69" s="6"/>
      <c r="J69" s="6"/>
      <c r="K69" s="6"/>
      <c r="L69" s="6"/>
      <c r="M69" s="6"/>
      <c r="N69" s="21" t="s">
        <v>226</v>
      </c>
      <c r="O69" s="273">
        <f>O68</f>
        <v>-1100.4479871749197</v>
      </c>
      <c r="P69" s="275"/>
      <c r="Q69" s="275"/>
      <c r="R69" s="21" t="s">
        <v>231</v>
      </c>
      <c r="S69" s="273">
        <f>AD53</f>
        <v>-407.30652815445507</v>
      </c>
      <c r="T69" s="275"/>
      <c r="U69" s="275"/>
      <c r="V69" s="501" t="s">
        <v>367</v>
      </c>
      <c r="W69" s="501"/>
      <c r="X69" s="21" t="s">
        <v>226</v>
      </c>
      <c r="Y69" s="478">
        <f>O69+S69</f>
        <v>-1507.7545153293747</v>
      </c>
      <c r="Z69" s="478"/>
      <c r="AA69" s="478"/>
      <c r="AB69" s="1" t="str">
        <f>AG53</f>
        <v>psi</v>
      </c>
      <c r="AC69" s="26" t="str">
        <f>IF(ABS(Y69)&lt;=ABS(AD69),"&lt;","&gt;")</f>
        <v>&lt;</v>
      </c>
      <c r="AD69" s="365">
        <f>AD67</f>
        <v>25333.333333333332</v>
      </c>
      <c r="AE69" s="365"/>
      <c r="AF69" s="365"/>
      <c r="AG69" s="364" t="str">
        <f>IF(ABS(Y69)&lt;=ABS(AD69),"OK !","NO !")</f>
        <v>OK !</v>
      </c>
      <c r="AH69" s="364"/>
      <c r="AJ69" s="361">
        <f>ABS(Y69/AD69)</f>
        <v>0.0595166256051069</v>
      </c>
      <c r="AK69" s="361"/>
      <c r="AL69" s="43" t="str">
        <f>IF(AJ69&lt;&gt;AJ76,"*","M")</f>
        <v>*</v>
      </c>
      <c r="AM69" s="362">
        <f>IF(AJ69&lt;&gt;AJ76,"",E65)</f>
      </c>
      <c r="AN69" s="328"/>
      <c r="AO69" s="328"/>
      <c r="AP69" s="363"/>
      <c r="AQ69" s="362">
        <f>IF(AJ69&lt;&gt;AJ76,"",AI68)</f>
      </c>
      <c r="AR69" s="363"/>
      <c r="AS69" s="357">
        <f>IF(AJ69&lt;&gt;AJ76,"",Y69)</f>
      </c>
      <c r="AT69" s="358"/>
      <c r="AU69" s="357">
        <f>IF(AJ69&lt;&gt;AJ76,"",AD69)</f>
      </c>
      <c r="AV69" s="359"/>
      <c r="AW69" s="135">
        <f>IF(AJ69&lt;&gt;AJ76,"",AG69)</f>
      </c>
    </row>
    <row r="70" spans="1:32" ht="9.75" customHeight="1">
      <c r="A70" s="6"/>
      <c r="B70" s="6"/>
      <c r="C70" s="6"/>
      <c r="D70" s="489"/>
      <c r="E70" s="9" t="str">
        <f>E44</f>
        <v>Long Side Plate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3"/>
      <c r="W70" s="3"/>
      <c r="X70" s="3"/>
      <c r="AC70" s="3"/>
      <c r="AD70" s="3"/>
      <c r="AE70" s="3"/>
      <c r="AF70" s="3"/>
    </row>
    <row r="71" spans="1:49" ht="9.75" customHeight="1">
      <c r="A71" s="6"/>
      <c r="B71" s="6"/>
      <c r="C71" s="6"/>
      <c r="D71" s="489"/>
      <c r="E71" s="6"/>
      <c r="F71" s="9" t="s">
        <v>239</v>
      </c>
      <c r="G71" s="1"/>
      <c r="H71" s="1" t="s">
        <v>226</v>
      </c>
      <c r="I71" s="288" t="str">
        <f>E45</f>
        <v>SmL</v>
      </c>
      <c r="J71" s="288"/>
      <c r="K71" s="21" t="s">
        <v>231</v>
      </c>
      <c r="L71" s="288" t="str">
        <f>F57</f>
        <v>(Sb)M</v>
      </c>
      <c r="M71" s="288"/>
      <c r="N71" s="21" t="s">
        <v>226</v>
      </c>
      <c r="O71" s="273">
        <f>Y45</f>
        <v>-413.63608973365695</v>
      </c>
      <c r="P71" s="275"/>
      <c r="Q71" s="275"/>
      <c r="R71" s="21" t="s">
        <v>231</v>
      </c>
      <c r="S71" s="273">
        <f>AD57</f>
        <v>-1864.374675893465</v>
      </c>
      <c r="T71" s="275"/>
      <c r="U71" s="275"/>
      <c r="V71" s="501" t="s">
        <v>368</v>
      </c>
      <c r="W71" s="501"/>
      <c r="X71" s="8" t="s">
        <v>226</v>
      </c>
      <c r="Y71" s="366">
        <f>O71+S71</f>
        <v>-2278.010765627122</v>
      </c>
      <c r="Z71" s="366"/>
      <c r="AA71" s="366"/>
      <c r="AB71" s="2" t="str">
        <f>AG57</f>
        <v>psi</v>
      </c>
      <c r="AC71" s="26" t="str">
        <f>IF(ABS(Y71)&lt;=ABS(AD71),"&lt;","&gt;")</f>
        <v>&lt;</v>
      </c>
      <c r="AD71" s="365">
        <f>AD66</f>
        <v>24000</v>
      </c>
      <c r="AE71" s="365"/>
      <c r="AF71" s="365"/>
      <c r="AG71" s="364" t="str">
        <f>IF(ABS(Y71)&lt;=ABS(AD71),"OK !","NO !")</f>
        <v>OK !</v>
      </c>
      <c r="AH71" s="364"/>
      <c r="AI71" s="8" t="s">
        <v>580</v>
      </c>
      <c r="AJ71" s="361">
        <f>ABS(Y71/AD71)</f>
        <v>0.09491711523446342</v>
      </c>
      <c r="AK71" s="361"/>
      <c r="AL71" s="43" t="str">
        <f>IF(AJ71&lt;&gt;AJ76,"*","M")</f>
        <v>M</v>
      </c>
      <c r="AM71" s="362" t="str">
        <f>IF(AJ71&lt;&gt;AJ76,"",E70)</f>
        <v>Long Side Plate</v>
      </c>
      <c r="AN71" s="328"/>
      <c r="AO71" s="328"/>
      <c r="AP71" s="363"/>
      <c r="AQ71" s="362" t="str">
        <f>IF(AJ71&lt;&gt;AJ76,"",AI71)</f>
        <v>M</v>
      </c>
      <c r="AR71" s="363"/>
      <c r="AS71" s="351">
        <f>IF(AJ71&lt;&gt;AJ76,"",Y71)</f>
        <v>-2278.010765627122</v>
      </c>
      <c r="AT71" s="352"/>
      <c r="AU71" s="353">
        <f>IF(AJ71&lt;&gt;AJ76,"",AD71)</f>
        <v>24000</v>
      </c>
      <c r="AV71" s="353"/>
      <c r="AW71" s="135" t="str">
        <f>IF(AJ71&lt;&gt;AJ76,"",AG71)</f>
        <v>OK !</v>
      </c>
    </row>
    <row r="72" spans="1:49" ht="9.75" customHeight="1">
      <c r="A72" s="6"/>
      <c r="B72" s="6"/>
      <c r="C72" s="6"/>
      <c r="D72" s="489"/>
      <c r="E72" s="1"/>
      <c r="F72" s="6"/>
      <c r="G72" s="6"/>
      <c r="H72" s="6"/>
      <c r="I72" s="6"/>
      <c r="J72" s="6"/>
      <c r="K72" s="6"/>
      <c r="L72" s="6"/>
      <c r="M72" s="6"/>
      <c r="N72" s="21" t="s">
        <v>226</v>
      </c>
      <c r="O72" s="273">
        <f>O71</f>
        <v>-413.63608973365695</v>
      </c>
      <c r="P72" s="275"/>
      <c r="Q72" s="275"/>
      <c r="R72" s="21" t="s">
        <v>231</v>
      </c>
      <c r="S72" s="273">
        <f>AD58</f>
        <v>456.40649787448024</v>
      </c>
      <c r="T72" s="275"/>
      <c r="U72" s="275"/>
      <c r="V72" s="501" t="s">
        <v>367</v>
      </c>
      <c r="W72" s="501"/>
      <c r="X72" s="8" t="s">
        <v>226</v>
      </c>
      <c r="Y72" s="366">
        <f>O72+S72</f>
        <v>42.77040814082329</v>
      </c>
      <c r="Z72" s="366"/>
      <c r="AA72" s="366"/>
      <c r="AB72" s="2" t="str">
        <f>AG58</f>
        <v>psi</v>
      </c>
      <c r="AC72" s="26" t="str">
        <f>IF(ABS(Y72)&lt;=ABS(AD72),"&lt;","&gt;")</f>
        <v>&lt;</v>
      </c>
      <c r="AD72" s="365">
        <f>AD67</f>
        <v>25333.333333333332</v>
      </c>
      <c r="AE72" s="365"/>
      <c r="AF72" s="365"/>
      <c r="AG72" s="364" t="str">
        <f>IF(ABS(Y72)&lt;=ABS(AD72),"OK !","NO !")</f>
        <v>OK !</v>
      </c>
      <c r="AH72" s="364"/>
      <c r="AJ72" s="361">
        <f>ABS(Y72/AD72)</f>
        <v>0.0016883055845061826</v>
      </c>
      <c r="AK72" s="361"/>
      <c r="AL72" s="43" t="str">
        <f>IF(AJ72&lt;&gt;AJ76,"*","M")</f>
        <v>*</v>
      </c>
      <c r="AM72" s="362">
        <f>IF(AJ72&lt;&gt;AJ76,"",E70)</f>
      </c>
      <c r="AN72" s="328"/>
      <c r="AO72" s="328"/>
      <c r="AP72" s="363"/>
      <c r="AQ72" s="362">
        <f>IF(AJ72&lt;&gt;AJ76,"",AI71)</f>
      </c>
      <c r="AR72" s="363"/>
      <c r="AS72" s="351">
        <f>IF(AJ72&lt;&gt;AJ76,"",Y72)</f>
      </c>
      <c r="AT72" s="352"/>
      <c r="AU72" s="353">
        <f>IF(AJ72&lt;&gt;AJ76,"",AD72)</f>
      </c>
      <c r="AV72" s="353"/>
      <c r="AW72" s="135">
        <f>IF(AJ72&lt;&gt;AJ76,"",AG72)</f>
      </c>
    </row>
    <row r="73" spans="1:49" ht="9.75" customHeight="1">
      <c r="A73" s="1"/>
      <c r="B73" s="1"/>
      <c r="C73" s="1"/>
      <c r="D73" s="489"/>
      <c r="E73" s="1"/>
      <c r="F73" s="9" t="s">
        <v>238</v>
      </c>
      <c r="G73" s="1"/>
      <c r="H73" s="1" t="s">
        <v>226</v>
      </c>
      <c r="I73" s="288" t="str">
        <f>E45</f>
        <v>SmL</v>
      </c>
      <c r="J73" s="288"/>
      <c r="K73" s="21" t="s">
        <v>231</v>
      </c>
      <c r="L73" s="288" t="str">
        <f>F61</f>
        <v>(Sb)QL</v>
      </c>
      <c r="M73" s="288"/>
      <c r="N73" s="21" t="s">
        <v>226</v>
      </c>
      <c r="O73" s="273">
        <f>Y45</f>
        <v>-413.63608973365695</v>
      </c>
      <c r="P73" s="275"/>
      <c r="Q73" s="275"/>
      <c r="R73" s="21" t="s">
        <v>231</v>
      </c>
      <c r="S73" s="273">
        <f>AD61</f>
        <v>828.8226451826898</v>
      </c>
      <c r="T73" s="275"/>
      <c r="U73" s="275"/>
      <c r="V73" s="501" t="s">
        <v>368</v>
      </c>
      <c r="W73" s="501"/>
      <c r="X73" s="8" t="s">
        <v>226</v>
      </c>
      <c r="Y73" s="366">
        <f>O73+S73</f>
        <v>415.1865554490329</v>
      </c>
      <c r="Z73" s="366"/>
      <c r="AA73" s="366"/>
      <c r="AB73" s="2" t="str">
        <f>AG61</f>
        <v>psi</v>
      </c>
      <c r="AC73" s="26" t="str">
        <f>IF(ABS(Y73)&lt;=ABS(AD73),"&lt;","&gt;")</f>
        <v>&lt;</v>
      </c>
      <c r="AD73" s="365">
        <f>AD71</f>
        <v>24000</v>
      </c>
      <c r="AE73" s="365"/>
      <c r="AF73" s="365"/>
      <c r="AG73" s="364" t="str">
        <f>IF(ABS(Y73)&lt;=ABS(AD73),"OK !","NO !")</f>
        <v>OK !</v>
      </c>
      <c r="AH73" s="364"/>
      <c r="AI73" s="8" t="s">
        <v>30</v>
      </c>
      <c r="AJ73" s="361">
        <f>ABS(Y73/AD73)</f>
        <v>0.01729943981037637</v>
      </c>
      <c r="AK73" s="361"/>
      <c r="AL73" s="43" t="str">
        <f>IF(AJ73&lt;&gt;AJ76,"*","M")</f>
        <v>*</v>
      </c>
      <c r="AM73" s="362">
        <f>IF(AJ73&lt;&gt;AJ76,"",E70)</f>
      </c>
      <c r="AN73" s="328"/>
      <c r="AO73" s="328"/>
      <c r="AP73" s="363"/>
      <c r="AQ73" s="362">
        <f>IF(AJ73&lt;&gt;AJ76,"",AI73)</f>
      </c>
      <c r="AR73" s="363"/>
      <c r="AS73" s="351">
        <f>IF(AJ73&lt;&gt;AJ76,"",Y73)</f>
      </c>
      <c r="AT73" s="352"/>
      <c r="AU73" s="353">
        <f>IF(AJ73&lt;&gt;AJ76,"",AD73)</f>
      </c>
      <c r="AV73" s="353"/>
      <c r="AW73" s="135">
        <f>IF(AJ73&lt;&gt;AJ76,"",AG73)</f>
      </c>
    </row>
    <row r="74" spans="1:49" ht="9.75" customHeight="1">
      <c r="A74" s="6"/>
      <c r="B74" s="6"/>
      <c r="C74" s="6"/>
      <c r="D74" s="490"/>
      <c r="E74" s="1"/>
      <c r="F74" s="6"/>
      <c r="G74" s="6"/>
      <c r="H74" s="6"/>
      <c r="I74" s="6"/>
      <c r="J74" s="6"/>
      <c r="K74" s="6"/>
      <c r="L74" s="6"/>
      <c r="M74" s="6"/>
      <c r="N74" s="21" t="s">
        <v>226</v>
      </c>
      <c r="O74" s="273">
        <f>O73</f>
        <v>-413.63608973365695</v>
      </c>
      <c r="P74" s="275"/>
      <c r="Q74" s="275"/>
      <c r="R74" s="21" t="s">
        <v>231</v>
      </c>
      <c r="S74" s="273">
        <f>AD62</f>
        <v>-202.89915205247627</v>
      </c>
      <c r="T74" s="275"/>
      <c r="U74" s="275"/>
      <c r="V74" s="501" t="s">
        <v>367</v>
      </c>
      <c r="W74" s="501"/>
      <c r="X74" s="8" t="s">
        <v>226</v>
      </c>
      <c r="Y74" s="366">
        <f>O74+S74</f>
        <v>-616.5352417861332</v>
      </c>
      <c r="Z74" s="366"/>
      <c r="AA74" s="366"/>
      <c r="AB74" s="2" t="str">
        <f>AG62</f>
        <v>psi</v>
      </c>
      <c r="AC74" s="26" t="str">
        <f>IF(ABS(Y74)&lt;=ABS(AD74),"&lt;","&gt;")</f>
        <v>&lt;</v>
      </c>
      <c r="AD74" s="365">
        <f>AD72</f>
        <v>25333.333333333332</v>
      </c>
      <c r="AE74" s="365"/>
      <c r="AF74" s="365"/>
      <c r="AG74" s="364" t="str">
        <f>IF(ABS(Y74)&lt;=ABS(AD74),"OK !","NO !")</f>
        <v>OK !</v>
      </c>
      <c r="AH74" s="364"/>
      <c r="AJ74" s="361">
        <f>ABS(Y74/AD74)</f>
        <v>0.02433691743892631</v>
      </c>
      <c r="AK74" s="361"/>
      <c r="AL74" s="130" t="str">
        <f>IF(AJ74&lt;&gt;AJ76,"*","M")</f>
        <v>*</v>
      </c>
      <c r="AM74" s="379">
        <f>IF(AJ74&lt;&gt;AJ76,"",E70)</f>
      </c>
      <c r="AN74" s="197"/>
      <c r="AO74" s="197"/>
      <c r="AP74" s="380"/>
      <c r="AQ74" s="379">
        <f>IF(AJ74&lt;&gt;AJ76,"",AI73)</f>
      </c>
      <c r="AR74" s="380"/>
      <c r="AS74" s="354">
        <f>IF(AJ74&lt;&gt;AJ76,"",Y74)</f>
      </c>
      <c r="AT74" s="355"/>
      <c r="AU74" s="356">
        <f>IF(AJ74&lt;&gt;AJ76,"",AD74)</f>
      </c>
      <c r="AV74" s="356"/>
      <c r="AW74" s="136">
        <f>IF(AJ74&lt;&gt;AJ76,"",AG74)</f>
      </c>
    </row>
    <row r="75" spans="1:49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  <c r="AJ75" s="227" t="s">
        <v>568</v>
      </c>
      <c r="AK75" s="227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36:49" ht="11.25">
      <c r="AJ76" s="274">
        <f>MAX(AJ66,AJ67,AJ68,AJ69,AJ71,AJ72,AJ73,AJ74)</f>
        <v>0.09491711523446342</v>
      </c>
      <c r="AK76" s="275"/>
      <c r="AM76" s="304" t="str">
        <f>IF(AL66="M",AM66,IF(AL67="M",AM67,IF(AL68="M",AM68,IF(AL69="M",AM69,IF(AL71="M",AM71,IF(AL72="M",AM72,IF(AL73="M",AM73,IF(AL74="M",AM74))))))))</f>
        <v>Long Side Plate</v>
      </c>
      <c r="AN76" s="304"/>
      <c r="AO76" s="304"/>
      <c r="AP76" s="304"/>
      <c r="AQ76" s="304" t="str">
        <f>IF(AL66="M",AQ66,IF(AL67="M",AQ67,IF(AL68="M",AQ68,IF(AL69="M",AQ69,IF(AL71="M",AQ71,IF(AL72="M",AQ72,IF(AL73="M",AQ73,IF(AL74="M",AQ74))))))))</f>
        <v>M</v>
      </c>
      <c r="AR76" s="304"/>
      <c r="AS76" s="350">
        <f>IF(AL66="M",AS66,IF(AL67="M",AS67,IF(AL68="M",AS68,IF(AL69="M",AS69,IF(AL71="M",AS71,IF(AL72="M",AS72,IF(AL73="M",AS73,IF(AL74="M",AS74))))))))</f>
        <v>-2278.010765627122</v>
      </c>
      <c r="AT76" s="350"/>
      <c r="AU76" s="350">
        <f>IF(AL66="M",AU66,IF(AL67="M",AU67,IF(AL68="M",AU68,IF(AL69="M",AU69,IF(AL71="M",AU71,IF(AL72="M",AU72,IF(AL73="M",AU73,IF(AL74="M",AU74))))))))</f>
        <v>24000</v>
      </c>
      <c r="AV76" s="350"/>
      <c r="AW76" s="2" t="str">
        <f>IF(AL66="M",AW66,IF(AL67="M",AW67,IF(AL68="M",AW68,IF(AL69="M",AW69,IF(AL71="M",AW71,IF(AL72="M",AW72,IF(AL73="M",AW73,IF(AL74="M",AW74))))))))</f>
        <v>OK !</v>
      </c>
    </row>
    <row r="117" ht="13.5" customHeight="1"/>
    <row r="118" ht="13.5" customHeight="1"/>
  </sheetData>
  <mergeCells count="432">
    <mergeCell ref="AC7:AG7"/>
    <mergeCell ref="AS76:AT76"/>
    <mergeCell ref="AU76:AV76"/>
    <mergeCell ref="AJ75:AK75"/>
    <mergeCell ref="AJ76:AK76"/>
    <mergeCell ref="AM76:AP76"/>
    <mergeCell ref="AQ76:AR76"/>
    <mergeCell ref="AU73:AV73"/>
    <mergeCell ref="AJ74:AK74"/>
    <mergeCell ref="AM74:AP74"/>
    <mergeCell ref="AQ74:AR74"/>
    <mergeCell ref="AS74:AT74"/>
    <mergeCell ref="AU74:AV74"/>
    <mergeCell ref="AJ73:AK73"/>
    <mergeCell ref="AM73:AP73"/>
    <mergeCell ref="AQ73:AR73"/>
    <mergeCell ref="AS73:AT73"/>
    <mergeCell ref="AU71:AV71"/>
    <mergeCell ref="AJ72:AK72"/>
    <mergeCell ref="AM72:AP72"/>
    <mergeCell ref="AQ72:AR72"/>
    <mergeCell ref="AS72:AT72"/>
    <mergeCell ref="AU72:AV72"/>
    <mergeCell ref="AJ71:AK71"/>
    <mergeCell ref="AM71:AP71"/>
    <mergeCell ref="AQ71:AR71"/>
    <mergeCell ref="AS71:AT71"/>
    <mergeCell ref="AU68:AV68"/>
    <mergeCell ref="AJ69:AK69"/>
    <mergeCell ref="AM69:AP69"/>
    <mergeCell ref="AQ69:AR69"/>
    <mergeCell ref="AS69:AT69"/>
    <mergeCell ref="AU69:AV69"/>
    <mergeCell ref="AJ68:AK68"/>
    <mergeCell ref="AM68:AP68"/>
    <mergeCell ref="AQ68:AR68"/>
    <mergeCell ref="AS68:AT68"/>
    <mergeCell ref="AQ66:AR66"/>
    <mergeCell ref="AS66:AT66"/>
    <mergeCell ref="AU66:AV66"/>
    <mergeCell ref="AJ67:AK67"/>
    <mergeCell ref="AM67:AP67"/>
    <mergeCell ref="AQ67:AR67"/>
    <mergeCell ref="AS67:AT67"/>
    <mergeCell ref="AU67:AV67"/>
    <mergeCell ref="AJ64:AK64"/>
    <mergeCell ref="AJ65:AK65"/>
    <mergeCell ref="AJ66:AK66"/>
    <mergeCell ref="AM66:AP66"/>
    <mergeCell ref="D41:D46"/>
    <mergeCell ref="Y72:AA72"/>
    <mergeCell ref="AD72:AF72"/>
    <mergeCell ref="AG72:AH72"/>
    <mergeCell ref="D47:D64"/>
    <mergeCell ref="V66:W66"/>
    <mergeCell ref="V68:W68"/>
    <mergeCell ref="V69:W69"/>
    <mergeCell ref="V71:W71"/>
    <mergeCell ref="V72:W72"/>
    <mergeCell ref="Y74:AA74"/>
    <mergeCell ref="AD74:AF74"/>
    <mergeCell ref="AG74:AH74"/>
    <mergeCell ref="Y67:AA67"/>
    <mergeCell ref="AD67:AF67"/>
    <mergeCell ref="AG67:AH67"/>
    <mergeCell ref="Y69:AA69"/>
    <mergeCell ref="AD69:AF69"/>
    <mergeCell ref="AG69:AH69"/>
    <mergeCell ref="AG68:AH68"/>
    <mergeCell ref="V74:W74"/>
    <mergeCell ref="O67:Q67"/>
    <mergeCell ref="S67:U67"/>
    <mergeCell ref="O69:Q69"/>
    <mergeCell ref="S69:U69"/>
    <mergeCell ref="O72:Q72"/>
    <mergeCell ref="S72:U72"/>
    <mergeCell ref="O74:Q74"/>
    <mergeCell ref="S74:U74"/>
    <mergeCell ref="V67:W67"/>
    <mergeCell ref="V73:W73"/>
    <mergeCell ref="Z61:AA61"/>
    <mergeCell ref="AD61:AF61"/>
    <mergeCell ref="Z62:AA62"/>
    <mergeCell ref="AD62:AF62"/>
    <mergeCell ref="AD71:AF71"/>
    <mergeCell ref="AD73:AF73"/>
    <mergeCell ref="AD65:AE65"/>
    <mergeCell ref="AD68:AF68"/>
    <mergeCell ref="Z57:AA57"/>
    <mergeCell ref="AD57:AF57"/>
    <mergeCell ref="Z58:AA58"/>
    <mergeCell ref="AD58:AF58"/>
    <mergeCell ref="Z49:AA49"/>
    <mergeCell ref="AD49:AF49"/>
    <mergeCell ref="Z52:AA52"/>
    <mergeCell ref="AD52:AF52"/>
    <mergeCell ref="Z48:AA48"/>
    <mergeCell ref="X41:Y41"/>
    <mergeCell ref="AA41:AB41"/>
    <mergeCell ref="AA45:AB46"/>
    <mergeCell ref="AA42:AB43"/>
    <mergeCell ref="Y42:Z43"/>
    <mergeCell ref="Y45:Z46"/>
    <mergeCell ref="L39:M39"/>
    <mergeCell ref="O39:P39"/>
    <mergeCell ref="R39:S39"/>
    <mergeCell ref="AA40:AB40"/>
    <mergeCell ref="W39:X39"/>
    <mergeCell ref="AA39:AB39"/>
    <mergeCell ref="J34:K34"/>
    <mergeCell ref="M34:N34"/>
    <mergeCell ref="P34:Q34"/>
    <mergeCell ref="W34:X34"/>
    <mergeCell ref="M33:N33"/>
    <mergeCell ref="P33:Q33"/>
    <mergeCell ref="S33:T33"/>
    <mergeCell ref="V33:W33"/>
    <mergeCell ref="AF37:AG37"/>
    <mergeCell ref="Y35:Z35"/>
    <mergeCell ref="AD35:AE35"/>
    <mergeCell ref="W37:X37"/>
    <mergeCell ref="AA21:AB21"/>
    <mergeCell ref="W21:X21"/>
    <mergeCell ref="AD33:AE33"/>
    <mergeCell ref="W25:X25"/>
    <mergeCell ref="Y25:Z25"/>
    <mergeCell ref="AA25:AB25"/>
    <mergeCell ref="W22:X22"/>
    <mergeCell ref="Y22:Z22"/>
    <mergeCell ref="AA22:AB22"/>
    <mergeCell ref="AA23:AB23"/>
    <mergeCell ref="M35:N35"/>
    <mergeCell ref="P35:Q35"/>
    <mergeCell ref="S35:T35"/>
    <mergeCell ref="V35:W35"/>
    <mergeCell ref="H28:J28"/>
    <mergeCell ref="X28:Y28"/>
    <mergeCell ref="M32:N32"/>
    <mergeCell ref="P32:Q32"/>
    <mergeCell ref="S32:T32"/>
    <mergeCell ref="V32:W32"/>
    <mergeCell ref="Y32:Z32"/>
    <mergeCell ref="S23:T23"/>
    <mergeCell ref="AG26:AH26"/>
    <mergeCell ref="N27:O27"/>
    <mergeCell ref="X27:Y27"/>
    <mergeCell ref="X26:Y26"/>
    <mergeCell ref="Y24:Z24"/>
    <mergeCell ref="AA24:AB24"/>
    <mergeCell ref="U23:V23"/>
    <mergeCell ref="W23:X23"/>
    <mergeCell ref="Y23:Z23"/>
    <mergeCell ref="E26:F26"/>
    <mergeCell ref="N26:O26"/>
    <mergeCell ref="S25:T25"/>
    <mergeCell ref="U25:V25"/>
    <mergeCell ref="AA19:AB19"/>
    <mergeCell ref="D65:D74"/>
    <mergeCell ref="U20:V20"/>
    <mergeCell ref="W20:X20"/>
    <mergeCell ref="Y20:Z20"/>
    <mergeCell ref="AA20:AB20"/>
    <mergeCell ref="S24:T24"/>
    <mergeCell ref="U24:V24"/>
    <mergeCell ref="S19:T19"/>
    <mergeCell ref="W24:X24"/>
    <mergeCell ref="S20:T20"/>
    <mergeCell ref="N22:O22"/>
    <mergeCell ref="S22:T22"/>
    <mergeCell ref="Y19:Z19"/>
    <mergeCell ref="S21:T21"/>
    <mergeCell ref="U21:V21"/>
    <mergeCell ref="U22:V22"/>
    <mergeCell ref="Y21:Z21"/>
    <mergeCell ref="W19:X19"/>
    <mergeCell ref="U19:V19"/>
    <mergeCell ref="H10:J10"/>
    <mergeCell ref="N12:O12"/>
    <mergeCell ref="J14:K14"/>
    <mergeCell ref="L14:M14"/>
    <mergeCell ref="N14:O14"/>
    <mergeCell ref="N13:O13"/>
    <mergeCell ref="S71:U71"/>
    <mergeCell ref="Y71:AA71"/>
    <mergeCell ref="M52:O52"/>
    <mergeCell ref="Q46:R46"/>
    <mergeCell ref="T46:U46"/>
    <mergeCell ref="O54:P54"/>
    <mergeCell ref="L50:M50"/>
    <mergeCell ref="R63:S63"/>
    <mergeCell ref="R59:S59"/>
    <mergeCell ref="R54:S54"/>
    <mergeCell ref="AA60:AB60"/>
    <mergeCell ref="AA63:AA64"/>
    <mergeCell ref="Y64:Z64"/>
    <mergeCell ref="T63:T64"/>
    <mergeCell ref="V63:W63"/>
    <mergeCell ref="Y63:Z63"/>
    <mergeCell ref="T59:T60"/>
    <mergeCell ref="U59:V60"/>
    <mergeCell ref="X59:Y59"/>
    <mergeCell ref="AA59:AB59"/>
    <mergeCell ref="H59:H60"/>
    <mergeCell ref="I59:J59"/>
    <mergeCell ref="L59:M59"/>
    <mergeCell ref="O59:P59"/>
    <mergeCell ref="I60:J60"/>
    <mergeCell ref="L60:N60"/>
    <mergeCell ref="H63:H64"/>
    <mergeCell ref="I63:J63"/>
    <mergeCell ref="L63:M63"/>
    <mergeCell ref="O63:P63"/>
    <mergeCell ref="I64:J64"/>
    <mergeCell ref="L64:N64"/>
    <mergeCell ref="F61:G62"/>
    <mergeCell ref="H61:H62"/>
    <mergeCell ref="L61:L62"/>
    <mergeCell ref="P61:P62"/>
    <mergeCell ref="M62:O62"/>
    <mergeCell ref="M61:O61"/>
    <mergeCell ref="I61:K61"/>
    <mergeCell ref="I62:K62"/>
    <mergeCell ref="T50:U51"/>
    <mergeCell ref="F57:G58"/>
    <mergeCell ref="H57:H58"/>
    <mergeCell ref="L57:L58"/>
    <mergeCell ref="T54:T55"/>
    <mergeCell ref="H54:H55"/>
    <mergeCell ref="I54:J54"/>
    <mergeCell ref="L54:M54"/>
    <mergeCell ref="L51:N51"/>
    <mergeCell ref="L55:N55"/>
    <mergeCell ref="AA54:AA55"/>
    <mergeCell ref="W50:W51"/>
    <mergeCell ref="X50:Y51"/>
    <mergeCell ref="AB50:AC50"/>
    <mergeCell ref="Y54:Z54"/>
    <mergeCell ref="Y55:Z55"/>
    <mergeCell ref="V54:W54"/>
    <mergeCell ref="Z53:AA53"/>
    <mergeCell ref="Z50:Z51"/>
    <mergeCell ref="F52:G53"/>
    <mergeCell ref="H52:H53"/>
    <mergeCell ref="L52:L53"/>
    <mergeCell ref="V50:V51"/>
    <mergeCell ref="M53:O53"/>
    <mergeCell ref="P52:P53"/>
    <mergeCell ref="I50:J50"/>
    <mergeCell ref="Q50:Q51"/>
    <mergeCell ref="R50:S51"/>
    <mergeCell ref="O50:P50"/>
    <mergeCell ref="I55:J55"/>
    <mergeCell ref="I51:J51"/>
    <mergeCell ref="I53:K53"/>
    <mergeCell ref="I52:K52"/>
    <mergeCell ref="F48:G49"/>
    <mergeCell ref="I48:J48"/>
    <mergeCell ref="I49:J49"/>
    <mergeCell ref="H50:H51"/>
    <mergeCell ref="H48:H49"/>
    <mergeCell ref="I57:K57"/>
    <mergeCell ref="M57:N58"/>
    <mergeCell ref="O57:Q57"/>
    <mergeCell ref="R57:R58"/>
    <mergeCell ref="O58:Q58"/>
    <mergeCell ref="I58:K58"/>
    <mergeCell ref="A1:AH3"/>
    <mergeCell ref="AC4:AG4"/>
    <mergeCell ref="AC5:AD5"/>
    <mergeCell ref="AF5:AG5"/>
    <mergeCell ref="AG71:AH71"/>
    <mergeCell ref="AG73:AH73"/>
    <mergeCell ref="AC6:AG6"/>
    <mergeCell ref="AD32:AE32"/>
    <mergeCell ref="AD48:AF48"/>
    <mergeCell ref="AG64:AH65"/>
    <mergeCell ref="AD64:AE64"/>
    <mergeCell ref="AD41:AF41"/>
    <mergeCell ref="AD66:AF66"/>
    <mergeCell ref="AG45:AH46"/>
    <mergeCell ref="AG50:AG51"/>
    <mergeCell ref="AG42:AH43"/>
    <mergeCell ref="AG66:AH66"/>
    <mergeCell ref="AC59:AC60"/>
    <mergeCell ref="AD42:AF43"/>
    <mergeCell ref="AE50:AF50"/>
    <mergeCell ref="AD45:AF46"/>
    <mergeCell ref="AE51:AF51"/>
    <mergeCell ref="AD53:AF53"/>
    <mergeCell ref="AC45:AC46"/>
    <mergeCell ref="L66:M66"/>
    <mergeCell ref="L68:M68"/>
    <mergeCell ref="L71:M71"/>
    <mergeCell ref="L73:M73"/>
    <mergeCell ref="O66:Q66"/>
    <mergeCell ref="S66:U66"/>
    <mergeCell ref="Y66:AA66"/>
    <mergeCell ref="O73:Q73"/>
    <mergeCell ref="S73:U73"/>
    <mergeCell ref="Y73:AA73"/>
    <mergeCell ref="O68:Q68"/>
    <mergeCell ref="S68:U68"/>
    <mergeCell ref="Y68:AA68"/>
    <mergeCell ref="O71:Q71"/>
    <mergeCell ref="I66:J66"/>
    <mergeCell ref="I68:J68"/>
    <mergeCell ref="I71:J71"/>
    <mergeCell ref="I73:J73"/>
    <mergeCell ref="E42:F43"/>
    <mergeCell ref="G42:G43"/>
    <mergeCell ref="H43:K43"/>
    <mergeCell ref="H42:K42"/>
    <mergeCell ref="L42:L43"/>
    <mergeCell ref="M42:N42"/>
    <mergeCell ref="P42:Q42"/>
    <mergeCell ref="S42:T42"/>
    <mergeCell ref="Q43:R43"/>
    <mergeCell ref="T43:U43"/>
    <mergeCell ref="N43:O43"/>
    <mergeCell ref="N46:O46"/>
    <mergeCell ref="E45:F46"/>
    <mergeCell ref="G45:G46"/>
    <mergeCell ref="H45:K45"/>
    <mergeCell ref="L45:L46"/>
    <mergeCell ref="H46:K46"/>
    <mergeCell ref="M45:N45"/>
    <mergeCell ref="K48:K49"/>
    <mergeCell ref="S48:S49"/>
    <mergeCell ref="L48:O49"/>
    <mergeCell ref="P48:R48"/>
    <mergeCell ref="P49:R49"/>
    <mergeCell ref="P45:Q45"/>
    <mergeCell ref="S45:T45"/>
    <mergeCell ref="X45:X46"/>
    <mergeCell ref="X42:X43"/>
    <mergeCell ref="AC42:AC43"/>
    <mergeCell ref="AA9:AB9"/>
    <mergeCell ref="W10:X10"/>
    <mergeCell ref="AA10:AB10"/>
    <mergeCell ref="AA14:AB14"/>
    <mergeCell ref="Y14:Z14"/>
    <mergeCell ref="X17:Y17"/>
    <mergeCell ref="X18:Y18"/>
    <mergeCell ref="AC23:AE23"/>
    <mergeCell ref="AC22:AE22"/>
    <mergeCell ref="S10:T10"/>
    <mergeCell ref="S9:T9"/>
    <mergeCell ref="Y9:Z9"/>
    <mergeCell ref="Y10:Z10"/>
    <mergeCell ref="U9:V9"/>
    <mergeCell ref="U10:V10"/>
    <mergeCell ref="W9:X9"/>
    <mergeCell ref="P41:R41"/>
    <mergeCell ref="T41:V41"/>
    <mergeCell ref="T40:V40"/>
    <mergeCell ref="Y39:Z39"/>
    <mergeCell ref="P40:R40"/>
    <mergeCell ref="S14:T14"/>
    <mergeCell ref="U14:V14"/>
    <mergeCell ref="W14:X14"/>
    <mergeCell ref="AA15:AB15"/>
    <mergeCell ref="Y15:Z15"/>
    <mergeCell ref="S15:T15"/>
    <mergeCell ref="U15:V15"/>
    <mergeCell ref="S12:T12"/>
    <mergeCell ref="U12:V12"/>
    <mergeCell ref="W12:X12"/>
    <mergeCell ref="AA13:AB13"/>
    <mergeCell ref="Y13:Z13"/>
    <mergeCell ref="S13:T13"/>
    <mergeCell ref="U13:V13"/>
    <mergeCell ref="W13:X13"/>
    <mergeCell ref="E13:F13"/>
    <mergeCell ref="E16:F16"/>
    <mergeCell ref="D14:D15"/>
    <mergeCell ref="AA11:AB11"/>
    <mergeCell ref="Y11:Z11"/>
    <mergeCell ref="S11:T11"/>
    <mergeCell ref="U11:V11"/>
    <mergeCell ref="W11:X11"/>
    <mergeCell ref="AA12:AB12"/>
    <mergeCell ref="Y12:Z12"/>
    <mergeCell ref="H18:J18"/>
    <mergeCell ref="E23:F23"/>
    <mergeCell ref="N23:O23"/>
    <mergeCell ref="D24:D25"/>
    <mergeCell ref="J24:K24"/>
    <mergeCell ref="L24:M24"/>
    <mergeCell ref="H20:J20"/>
    <mergeCell ref="N24:O24"/>
    <mergeCell ref="N16:O16"/>
    <mergeCell ref="N17:O17"/>
    <mergeCell ref="X16:Y16"/>
    <mergeCell ref="W15:X15"/>
    <mergeCell ref="AD30:AE30"/>
    <mergeCell ref="J31:K31"/>
    <mergeCell ref="M31:N31"/>
    <mergeCell ref="P31:Q31"/>
    <mergeCell ref="W31:X31"/>
    <mergeCell ref="M30:N30"/>
    <mergeCell ref="P30:Q30"/>
    <mergeCell ref="S30:T30"/>
    <mergeCell ref="V30:W30"/>
    <mergeCell ref="R9:R10"/>
    <mergeCell ref="R19:R20"/>
    <mergeCell ref="AC9:AE9"/>
    <mergeCell ref="AC10:AE10"/>
    <mergeCell ref="AC14:AE14"/>
    <mergeCell ref="AC13:AE13"/>
    <mergeCell ref="AC12:AE12"/>
    <mergeCell ref="AC11:AE11"/>
    <mergeCell ref="AC15:AE15"/>
    <mergeCell ref="AC19:AE19"/>
    <mergeCell ref="AF9:AH9"/>
    <mergeCell ref="AF10:AH10"/>
    <mergeCell ref="AF14:AH14"/>
    <mergeCell ref="AF13:AH13"/>
    <mergeCell ref="AF12:AH12"/>
    <mergeCell ref="AC20:AE20"/>
    <mergeCell ref="AF11:AH11"/>
    <mergeCell ref="AF15:AH15"/>
    <mergeCell ref="AG16:AH16"/>
    <mergeCell ref="AC24:AE24"/>
    <mergeCell ref="AC21:AE21"/>
    <mergeCell ref="AC25:AE25"/>
    <mergeCell ref="AF19:AH19"/>
    <mergeCell ref="AF20:AH20"/>
    <mergeCell ref="AF24:AH24"/>
    <mergeCell ref="AF23:AH23"/>
    <mergeCell ref="AF22:AH22"/>
    <mergeCell ref="AF21:AH21"/>
    <mergeCell ref="AF25:AH25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AW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8</v>
      </c>
      <c r="C6" s="6"/>
      <c r="D6" s="6"/>
      <c r="E6" s="7" t="str">
        <f>project</f>
        <v>Programming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0</v>
      </c>
      <c r="AA6" s="3"/>
      <c r="AB6" s="3"/>
      <c r="AC6" s="377" t="str">
        <f>docno</f>
        <v>SC - RPV - 100</v>
      </c>
      <c r="AD6" s="377"/>
      <c r="AE6" s="377"/>
      <c r="AF6" s="377"/>
      <c r="AG6" s="377"/>
      <c r="AH6" s="4"/>
    </row>
    <row r="7" spans="1:34" ht="9.75" customHeight="1">
      <c r="A7" s="6"/>
      <c r="B7" s="6" t="s">
        <v>9</v>
      </c>
      <c r="C7" s="6"/>
      <c r="D7" s="6"/>
      <c r="E7" s="7" t="str">
        <f>itemno</f>
        <v>13-17 Example, P430~1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1</v>
      </c>
      <c r="AA7" s="3"/>
      <c r="AB7" s="3"/>
      <c r="AC7" s="311">
        <v>5</v>
      </c>
      <c r="AD7" s="311"/>
      <c r="AE7" s="8" t="s">
        <v>2</v>
      </c>
      <c r="AF7" s="304" t="str">
        <f>sheetqty</f>
        <v>x</v>
      </c>
      <c r="AG7" s="304"/>
      <c r="AH7" s="4"/>
    </row>
    <row r="8" spans="1:34" ht="9.75" customHeight="1">
      <c r="A8" s="6"/>
      <c r="B8" s="6" t="s">
        <v>10</v>
      </c>
      <c r="C8" s="6"/>
      <c r="D8" s="6"/>
      <c r="E8" s="7" t="str">
        <f>service</f>
        <v>Rectangular Vessel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22</v>
      </c>
      <c r="AA8" s="3"/>
      <c r="AB8" s="3"/>
      <c r="AC8" s="377" t="str">
        <f>date</f>
        <v>2018.  2.  10.</v>
      </c>
      <c r="AD8" s="377"/>
      <c r="AE8" s="377"/>
      <c r="AF8" s="377"/>
      <c r="AG8" s="377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17</v>
      </c>
      <c r="AA9" s="3"/>
      <c r="AB9" s="3"/>
      <c r="AC9" s="377">
        <f>revno</f>
        <v>0</v>
      </c>
      <c r="AD9" s="377"/>
      <c r="AE9" s="377"/>
      <c r="AF9" s="377"/>
      <c r="AG9" s="377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215</v>
      </c>
      <c r="D11" s="31" t="s">
        <v>139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6" ht="9.75" customHeight="1">
      <c r="A13" s="6"/>
      <c r="B13" s="6"/>
      <c r="C13" s="6"/>
      <c r="D13" s="7" t="s">
        <v>43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</row>
    <row r="14" spans="1:32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  <c r="AD14" s="360" t="s">
        <v>103</v>
      </c>
      <c r="AE14" s="360"/>
      <c r="AF14" s="360"/>
    </row>
    <row r="15" spans="1:21" ht="9.75" customHeight="1">
      <c r="A15" s="1"/>
      <c r="B15" s="1"/>
      <c r="C15" s="1"/>
      <c r="D15" s="1"/>
      <c r="E15" s="27" t="s">
        <v>106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4" ht="9.75" customHeight="1">
      <c r="A16" s="1"/>
      <c r="B16" s="1"/>
      <c r="C16" s="1"/>
      <c r="D16" s="1"/>
      <c r="E16" s="1"/>
      <c r="F16" s="372" t="s">
        <v>113</v>
      </c>
      <c r="G16" s="372"/>
      <c r="H16" s="367" t="s">
        <v>52</v>
      </c>
      <c r="I16" s="275" t="s">
        <v>125</v>
      </c>
      <c r="J16" s="275"/>
      <c r="K16" s="369" t="s">
        <v>129</v>
      </c>
      <c r="L16" s="369">
        <v>4</v>
      </c>
      <c r="M16" s="368" t="s">
        <v>131</v>
      </c>
      <c r="N16" s="275" t="s">
        <v>115</v>
      </c>
      <c r="O16" s="275"/>
      <c r="P16" s="275"/>
      <c r="Q16" s="275"/>
      <c r="R16" s="369" t="s">
        <v>130</v>
      </c>
      <c r="S16" s="275">
        <v>1</v>
      </c>
      <c r="T16" s="275"/>
      <c r="U16" s="1"/>
      <c r="W16" s="381" t="s">
        <v>52</v>
      </c>
      <c r="X16" s="383">
        <f>I18*L18/I19/L19*(O18-(2+S18*(V18-X18^2))/(1+2*S19))/AB19</f>
        <v>-629.8516614999728</v>
      </c>
      <c r="Y16" s="383"/>
      <c r="Z16" s="383"/>
      <c r="AA16" s="412" t="str">
        <f>upsx(dpu)</f>
        <v>psi</v>
      </c>
      <c r="AB16" s="412"/>
      <c r="AC16" s="414" t="str">
        <f>IF(X16&lt;=AD16,"&lt;","&gt;")</f>
        <v>&lt;</v>
      </c>
      <c r="AD16" s="413">
        <f>mas</f>
        <v>18800</v>
      </c>
      <c r="AE16" s="413"/>
      <c r="AF16" s="413"/>
      <c r="AG16" s="411" t="str">
        <f>IF(ABS(X16)&lt;=ABS(AD16),"OK !","NO !")</f>
        <v>OK !</v>
      </c>
      <c r="AH16" s="411"/>
    </row>
    <row r="17" spans="1:34" ht="9.75" customHeight="1">
      <c r="A17" s="6"/>
      <c r="B17" s="6"/>
      <c r="C17" s="6"/>
      <c r="D17" s="6"/>
      <c r="E17" s="6"/>
      <c r="F17" s="372"/>
      <c r="G17" s="372"/>
      <c r="H17" s="367"/>
      <c r="I17" s="227" t="s">
        <v>126</v>
      </c>
      <c r="J17" s="227"/>
      <c r="K17" s="369"/>
      <c r="L17" s="369"/>
      <c r="M17" s="368"/>
      <c r="N17" s="227" t="s">
        <v>116</v>
      </c>
      <c r="O17" s="227"/>
      <c r="P17" s="227"/>
      <c r="Q17" s="227"/>
      <c r="R17" s="369"/>
      <c r="S17" s="227" t="s">
        <v>553</v>
      </c>
      <c r="T17" s="227"/>
      <c r="U17" s="6"/>
      <c r="V17" s="3"/>
      <c r="W17" s="381"/>
      <c r="X17" s="383"/>
      <c r="Y17" s="383"/>
      <c r="Z17" s="383"/>
      <c r="AA17" s="412"/>
      <c r="AB17" s="412"/>
      <c r="AC17" s="414"/>
      <c r="AD17" s="413"/>
      <c r="AE17" s="413"/>
      <c r="AF17" s="413"/>
      <c r="AG17" s="411"/>
      <c r="AH17" s="411"/>
    </row>
    <row r="18" spans="1:30" ht="9.75" customHeight="1">
      <c r="A18" s="1"/>
      <c r="B18" s="1"/>
      <c r="C18" s="1"/>
      <c r="D18" s="1"/>
      <c r="E18" s="1"/>
      <c r="F18" s="1"/>
      <c r="G18" s="1"/>
      <c r="H18" s="367" t="s">
        <v>52</v>
      </c>
      <c r="I18" s="275">
        <f>dpress</f>
        <v>-115</v>
      </c>
      <c r="J18" s="275"/>
      <c r="K18" s="21" t="s">
        <v>118</v>
      </c>
      <c r="L18" s="273">
        <f>sph3</f>
        <v>165.1</v>
      </c>
      <c r="M18" s="273"/>
      <c r="N18" s="369" t="s">
        <v>129</v>
      </c>
      <c r="O18" s="369">
        <f>L16</f>
        <v>4</v>
      </c>
      <c r="P18" s="368" t="s">
        <v>131</v>
      </c>
      <c r="Q18" s="8" t="s">
        <v>119</v>
      </c>
      <c r="S18" s="361">
        <f>kei</f>
        <v>1.820444444444444</v>
      </c>
      <c r="T18" s="361"/>
      <c r="U18" s="8" t="s">
        <v>120</v>
      </c>
      <c r="V18" s="8">
        <v>5</v>
      </c>
      <c r="W18" s="8" t="s">
        <v>121</v>
      </c>
      <c r="X18" s="361">
        <f>alpha</f>
        <v>0.4444444444444444</v>
      </c>
      <c r="Y18" s="361"/>
      <c r="Z18" s="8" t="s">
        <v>122</v>
      </c>
      <c r="AA18" s="369" t="s">
        <v>130</v>
      </c>
      <c r="AB18" s="275">
        <v>1</v>
      </c>
      <c r="AC18" s="275"/>
      <c r="AD18" s="54"/>
    </row>
    <row r="19" spans="1:30" ht="9.75" customHeight="1">
      <c r="A19" s="6"/>
      <c r="B19" s="6"/>
      <c r="C19" s="6"/>
      <c r="D19" s="6"/>
      <c r="E19" s="6"/>
      <c r="F19" s="1"/>
      <c r="G19" s="1"/>
      <c r="H19" s="367"/>
      <c r="I19" s="227">
        <v>4</v>
      </c>
      <c r="J19" s="227"/>
      <c r="K19" s="22" t="s">
        <v>118</v>
      </c>
      <c r="L19" s="227">
        <f>st1</f>
        <v>15.875</v>
      </c>
      <c r="M19" s="227"/>
      <c r="N19" s="369"/>
      <c r="O19" s="369"/>
      <c r="P19" s="368"/>
      <c r="Q19" s="23" t="s">
        <v>123</v>
      </c>
      <c r="R19" s="22" t="s">
        <v>264</v>
      </c>
      <c r="S19" s="260">
        <f>S18</f>
        <v>1.820444444444444</v>
      </c>
      <c r="T19" s="227"/>
      <c r="U19" s="23"/>
      <c r="V19" s="23"/>
      <c r="W19" s="23"/>
      <c r="X19" s="23"/>
      <c r="Y19" s="10"/>
      <c r="Z19" s="10"/>
      <c r="AA19" s="369"/>
      <c r="AB19" s="227">
        <f>jen</f>
        <v>0.8</v>
      </c>
      <c r="AC19" s="227"/>
      <c r="AD19" s="54"/>
    </row>
    <row r="20" spans="1:29" ht="9.75" customHeight="1">
      <c r="A20" s="6"/>
      <c r="B20" s="6"/>
      <c r="C20" s="6"/>
      <c r="D20" s="6"/>
      <c r="E20" s="6"/>
      <c r="F20" s="6"/>
      <c r="G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  <c r="AC20" s="3"/>
    </row>
    <row r="21" spans="1:29" ht="9.75" customHeight="1">
      <c r="A21" s="1"/>
      <c r="B21" s="1"/>
      <c r="C21" s="1"/>
      <c r="D21" s="1"/>
      <c r="E21" s="27" t="s">
        <v>107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AC21" s="3"/>
    </row>
    <row r="22" spans="1:34" ht="9.75" customHeight="1">
      <c r="A22" s="6"/>
      <c r="B22" s="6"/>
      <c r="C22" s="6"/>
      <c r="D22" s="6"/>
      <c r="E22" s="6"/>
      <c r="F22" s="27" t="s">
        <v>105</v>
      </c>
      <c r="G22" s="1"/>
      <c r="H22" s="1" t="s">
        <v>44</v>
      </c>
      <c r="I22" s="1" t="s">
        <v>544</v>
      </c>
      <c r="J22" s="1"/>
      <c r="K22" s="1"/>
      <c r="L22" s="1" t="s">
        <v>44</v>
      </c>
      <c r="M22" s="275">
        <f>dpress</f>
        <v>-115</v>
      </c>
      <c r="N22" s="275"/>
      <c r="O22" s="21" t="s">
        <v>45</v>
      </c>
      <c r="P22" s="273">
        <f>sh</f>
        <v>152.39999999999998</v>
      </c>
      <c r="Q22" s="273"/>
      <c r="R22" s="121" t="s">
        <v>548</v>
      </c>
      <c r="S22" s="275">
        <f>lt2</f>
        <v>25.4</v>
      </c>
      <c r="T22" s="275"/>
      <c r="U22" s="8" t="s">
        <v>466</v>
      </c>
      <c r="V22" s="304">
        <f>jem</f>
        <v>0.6</v>
      </c>
      <c r="W22" s="304"/>
      <c r="X22" s="8" t="s">
        <v>52</v>
      </c>
      <c r="Y22" s="366">
        <f>M22*P22/2/S22/V22</f>
        <v>-574.9999999999999</v>
      </c>
      <c r="Z22" s="366"/>
      <c r="AA22" s="366"/>
      <c r="AB22" s="2" t="str">
        <f>upsx(dpu)</f>
        <v>psi</v>
      </c>
      <c r="AC22" s="26" t="str">
        <f>IF(Y22&lt;=AD22,"&lt;","&gt;")</f>
        <v>&lt;</v>
      </c>
      <c r="AD22" s="365">
        <f>mas</f>
        <v>18800</v>
      </c>
      <c r="AE22" s="365"/>
      <c r="AF22" s="365"/>
      <c r="AG22" s="364" t="str">
        <f>IF(ABS(Y22)&lt;=ABS(AD22),"OK !","NO !")</f>
        <v>OK !</v>
      </c>
      <c r="AH22" s="364"/>
    </row>
    <row r="23" spans="1:29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AC23" s="3"/>
    </row>
    <row r="24" spans="1:29" ht="9.75" customHeight="1">
      <c r="A24" s="6"/>
      <c r="B24" s="6"/>
      <c r="C24" s="6"/>
      <c r="D24" s="6"/>
      <c r="E24" s="27" t="s">
        <v>112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34" ht="9.75" customHeight="1">
      <c r="A25" s="1"/>
      <c r="B25" s="1"/>
      <c r="C25" s="1"/>
      <c r="D25" s="1"/>
      <c r="E25" s="1"/>
      <c r="F25" s="372" t="s">
        <v>136</v>
      </c>
      <c r="G25" s="372"/>
      <c r="H25" s="367" t="s">
        <v>52</v>
      </c>
      <c r="I25" s="373" t="s">
        <v>125</v>
      </c>
      <c r="J25" s="373"/>
      <c r="K25" s="369" t="s">
        <v>114</v>
      </c>
      <c r="L25" s="275" t="s">
        <v>115</v>
      </c>
      <c r="M25" s="275"/>
      <c r="N25" s="275"/>
      <c r="O25" s="275"/>
      <c r="P25" s="369" t="s">
        <v>117</v>
      </c>
      <c r="W25" s="381" t="s">
        <v>52</v>
      </c>
      <c r="X25" s="383">
        <f>I27*L27/I28/L28*(2+S27*(V27-X27^2))/(1+2*S28)</f>
        <v>-1730.2966770000544</v>
      </c>
      <c r="Y25" s="383"/>
      <c r="Z25" s="383"/>
      <c r="AA25" s="412" t="str">
        <f>upsx(dpu)</f>
        <v>psi</v>
      </c>
      <c r="AB25" s="412"/>
      <c r="AC25" s="414" t="str">
        <f>IF(X25&lt;=AD25,"&lt;","&gt;")</f>
        <v>&lt;</v>
      </c>
      <c r="AD25" s="413">
        <f>spmas</f>
        <v>18800</v>
      </c>
      <c r="AE25" s="413"/>
      <c r="AF25" s="413"/>
      <c r="AG25" s="411" t="str">
        <f>IF(ABS(X25)&lt;=ABS(AD25),"OK !","NO !")</f>
        <v>OK !</v>
      </c>
      <c r="AH25" s="411"/>
    </row>
    <row r="26" spans="1:34" ht="9.75" customHeight="1">
      <c r="A26" s="6"/>
      <c r="B26" s="6"/>
      <c r="C26" s="6"/>
      <c r="D26" s="6"/>
      <c r="E26" s="6"/>
      <c r="F26" s="372"/>
      <c r="G26" s="372"/>
      <c r="H26" s="367"/>
      <c r="I26" s="227" t="s">
        <v>127</v>
      </c>
      <c r="J26" s="227"/>
      <c r="K26" s="369"/>
      <c r="L26" s="227" t="s">
        <v>116</v>
      </c>
      <c r="M26" s="227"/>
      <c r="N26" s="227"/>
      <c r="O26" s="227"/>
      <c r="P26" s="369"/>
      <c r="W26" s="381"/>
      <c r="X26" s="383"/>
      <c r="Y26" s="383"/>
      <c r="Z26" s="383"/>
      <c r="AA26" s="412"/>
      <c r="AB26" s="412"/>
      <c r="AC26" s="414"/>
      <c r="AD26" s="413"/>
      <c r="AE26" s="413"/>
      <c r="AF26" s="413"/>
      <c r="AG26" s="411"/>
      <c r="AH26" s="411"/>
    </row>
    <row r="27" spans="1:27" ht="9.75" customHeight="1">
      <c r="A27" s="1"/>
      <c r="B27" s="1"/>
      <c r="C27" s="1"/>
      <c r="D27" s="1"/>
      <c r="E27" s="1"/>
      <c r="F27" s="1"/>
      <c r="G27" s="1"/>
      <c r="H27" s="367" t="s">
        <v>52</v>
      </c>
      <c r="I27" s="275">
        <f>dpress</f>
        <v>-115</v>
      </c>
      <c r="J27" s="275"/>
      <c r="K27" s="21" t="s">
        <v>118</v>
      </c>
      <c r="L27" s="273">
        <f>sph3</f>
        <v>165.1</v>
      </c>
      <c r="M27" s="273"/>
      <c r="P27" s="369" t="s">
        <v>114</v>
      </c>
      <c r="Q27" s="8" t="s">
        <v>119</v>
      </c>
      <c r="S27" s="361">
        <f>kei</f>
        <v>1.820444444444444</v>
      </c>
      <c r="T27" s="361"/>
      <c r="U27" s="8" t="s">
        <v>120</v>
      </c>
      <c r="V27" s="8">
        <v>5</v>
      </c>
      <c r="W27" s="8" t="s">
        <v>121</v>
      </c>
      <c r="X27" s="361">
        <f>alpha</f>
        <v>0.4444444444444444</v>
      </c>
      <c r="Y27" s="361"/>
      <c r="Z27" s="8" t="s">
        <v>122</v>
      </c>
      <c r="AA27" s="369" t="s">
        <v>117</v>
      </c>
    </row>
    <row r="28" spans="1:27" ht="9.75" customHeight="1">
      <c r="A28" s="1"/>
      <c r="B28" s="1"/>
      <c r="C28" s="1"/>
      <c r="D28" s="1"/>
      <c r="E28" s="1"/>
      <c r="F28" s="1"/>
      <c r="G28" s="1"/>
      <c r="H28" s="367"/>
      <c r="I28" s="227">
        <v>2</v>
      </c>
      <c r="J28" s="227"/>
      <c r="K28" s="22" t="s">
        <v>118</v>
      </c>
      <c r="L28" s="227">
        <f>spt3</f>
        <v>12.7</v>
      </c>
      <c r="M28" s="227"/>
      <c r="P28" s="369"/>
      <c r="Q28" s="23" t="s">
        <v>123</v>
      </c>
      <c r="R28" s="22" t="s">
        <v>264</v>
      </c>
      <c r="S28" s="260">
        <f>S27</f>
        <v>1.820444444444444</v>
      </c>
      <c r="T28" s="227"/>
      <c r="U28" s="23"/>
      <c r="V28" s="23"/>
      <c r="W28" s="23"/>
      <c r="X28" s="23"/>
      <c r="Y28" s="10"/>
      <c r="Z28" s="10"/>
      <c r="AA28" s="369"/>
    </row>
    <row r="29" spans="1:29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AC29" s="3"/>
    </row>
    <row r="30" spans="1:28" ht="9.75" customHeight="1">
      <c r="A30" s="6"/>
      <c r="B30" s="6"/>
      <c r="C30" s="6"/>
      <c r="D30" s="7" t="s">
        <v>53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</row>
    <row r="31" spans="1:29" ht="9.75" customHeight="1">
      <c r="A31" s="1"/>
      <c r="B31" s="1"/>
      <c r="C31" s="1"/>
      <c r="D31" s="6"/>
      <c r="E31" s="6"/>
      <c r="F31" s="6"/>
      <c r="G31" s="6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9" ht="9.75" customHeight="1">
      <c r="A32" s="6"/>
      <c r="B32" s="6"/>
      <c r="C32" s="6"/>
      <c r="D32" s="1"/>
      <c r="E32" s="9" t="str">
        <f>E15</f>
        <v>Short Side Plate</v>
      </c>
      <c r="F32" s="1"/>
      <c r="G32" s="1"/>
      <c r="H32" s="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  <c r="AC32" s="3"/>
    </row>
    <row r="33" spans="1:34" ht="9.75" customHeight="1">
      <c r="A33" s="1"/>
      <c r="B33" s="1"/>
      <c r="C33" s="1"/>
      <c r="D33" s="1"/>
      <c r="E33" s="1"/>
      <c r="F33" s="372" t="s">
        <v>386</v>
      </c>
      <c r="G33" s="372"/>
      <c r="H33" s="367" t="s">
        <v>52</v>
      </c>
      <c r="I33" s="275" t="s">
        <v>128</v>
      </c>
      <c r="J33" s="275"/>
      <c r="K33" s="369" t="s">
        <v>54</v>
      </c>
      <c r="L33" s="368" t="s">
        <v>141</v>
      </c>
      <c r="M33" s="368"/>
      <c r="N33" s="368"/>
      <c r="O33" s="368"/>
      <c r="P33" s="275" t="s">
        <v>142</v>
      </c>
      <c r="Q33" s="275"/>
      <c r="R33" s="275"/>
      <c r="S33" s="369" t="s">
        <v>58</v>
      </c>
      <c r="T33" s="275">
        <v>1</v>
      </c>
      <c r="U33" s="275"/>
      <c r="AA33" s="42" t="s">
        <v>383</v>
      </c>
      <c r="AC33" s="55" t="s">
        <v>52</v>
      </c>
      <c r="AD33" s="383">
        <f>I35*L35/I36/L36*(-3*Q35^2+2*V35^2*(1+2*AA35^2*AD35)/(1+2*AD36))/AG36</f>
        <v>-7056.170881601127</v>
      </c>
      <c r="AE33" s="383"/>
      <c r="AF33" s="383"/>
      <c r="AG33" s="54" t="str">
        <f>AA16</f>
        <v>psi</v>
      </c>
      <c r="AH33" s="54"/>
    </row>
    <row r="34" spans="1:34" ht="9.75" customHeight="1">
      <c r="A34" s="6"/>
      <c r="B34" s="6"/>
      <c r="C34" s="6"/>
      <c r="D34" s="1"/>
      <c r="E34" s="1"/>
      <c r="F34" s="372"/>
      <c r="G34" s="372"/>
      <c r="H34" s="367"/>
      <c r="I34" s="227" t="s">
        <v>140</v>
      </c>
      <c r="J34" s="227"/>
      <c r="K34" s="369"/>
      <c r="L34" s="368"/>
      <c r="M34" s="368"/>
      <c r="N34" s="368"/>
      <c r="O34" s="368"/>
      <c r="P34" s="227" t="s">
        <v>143</v>
      </c>
      <c r="Q34" s="227"/>
      <c r="R34" s="227"/>
      <c r="S34" s="369"/>
      <c r="T34" s="227" t="s">
        <v>553</v>
      </c>
      <c r="U34" s="227"/>
      <c r="AA34" s="42" t="s">
        <v>384</v>
      </c>
      <c r="AC34" s="55" t="s">
        <v>52</v>
      </c>
      <c r="AD34" s="383">
        <f>I35*(-L35)/I36/L36*(-3*Q35^2+2*V35^2*(1+2*AA35^2*AD35)/(1+2*AD36))/AG36</f>
        <v>7056.170881601127</v>
      </c>
      <c r="AE34" s="383"/>
      <c r="AF34" s="383"/>
      <c r="AG34" s="54" t="str">
        <f>AG33</f>
        <v>psi</v>
      </c>
      <c r="AH34" s="54"/>
    </row>
    <row r="35" spans="1:34" ht="9.75" customHeight="1">
      <c r="A35" s="1"/>
      <c r="B35" s="1"/>
      <c r="C35" s="1"/>
      <c r="D35" s="1"/>
      <c r="E35" s="1"/>
      <c r="F35" s="1"/>
      <c r="G35" s="1"/>
      <c r="H35" s="367" t="s">
        <v>52</v>
      </c>
      <c r="I35" s="275">
        <f>I18</f>
        <v>-115</v>
      </c>
      <c r="J35" s="275"/>
      <c r="K35" s="21" t="s">
        <v>21</v>
      </c>
      <c r="L35" s="370">
        <f>sco1</f>
        <v>-7.9375</v>
      </c>
      <c r="M35" s="370"/>
      <c r="N35" s="369" t="s">
        <v>54</v>
      </c>
      <c r="O35" s="368" t="s">
        <v>144</v>
      </c>
      <c r="P35" s="368"/>
      <c r="Q35" s="407">
        <f>P22</f>
        <v>152.39999999999998</v>
      </c>
      <c r="R35" s="369"/>
      <c r="S35" s="367" t="s">
        <v>60</v>
      </c>
      <c r="T35" s="368" t="s">
        <v>145</v>
      </c>
      <c r="U35" s="368"/>
      <c r="V35" s="407">
        <f>L18</f>
        <v>165.1</v>
      </c>
      <c r="W35" s="369"/>
      <c r="X35" s="367" t="s">
        <v>63</v>
      </c>
      <c r="Y35" s="2" t="s">
        <v>149</v>
      </c>
      <c r="Z35" s="8" t="s">
        <v>150</v>
      </c>
      <c r="AA35" s="361">
        <f>X18</f>
        <v>0.4444444444444444</v>
      </c>
      <c r="AB35" s="361"/>
      <c r="AC35" s="33" t="s">
        <v>158</v>
      </c>
      <c r="AD35" s="361">
        <f>S18</f>
        <v>1.820444444444444</v>
      </c>
      <c r="AE35" s="361"/>
      <c r="AF35" s="369" t="s">
        <v>58</v>
      </c>
      <c r="AG35" s="275">
        <v>1</v>
      </c>
      <c r="AH35" s="275"/>
    </row>
    <row r="36" spans="1:34" ht="9.75" customHeight="1">
      <c r="A36" s="1"/>
      <c r="B36" s="1"/>
      <c r="C36" s="1"/>
      <c r="D36" s="6"/>
      <c r="E36" s="6"/>
      <c r="F36" s="6"/>
      <c r="G36" s="6"/>
      <c r="H36" s="367"/>
      <c r="I36" s="227">
        <v>24</v>
      </c>
      <c r="J36" s="227"/>
      <c r="K36" s="22" t="s">
        <v>21</v>
      </c>
      <c r="L36" s="371">
        <f>si1</f>
        <v>333.3956705729167</v>
      </c>
      <c r="M36" s="371"/>
      <c r="N36" s="369"/>
      <c r="O36" s="368"/>
      <c r="P36" s="368"/>
      <c r="Q36" s="369"/>
      <c r="R36" s="369"/>
      <c r="S36" s="367"/>
      <c r="T36" s="368"/>
      <c r="U36" s="368"/>
      <c r="V36" s="369"/>
      <c r="W36" s="369"/>
      <c r="X36" s="367"/>
      <c r="Y36" s="23" t="s">
        <v>65</v>
      </c>
      <c r="Z36" s="10"/>
      <c r="AA36" s="23"/>
      <c r="AB36" s="23"/>
      <c r="AC36" s="22" t="s">
        <v>148</v>
      </c>
      <c r="AD36" s="260">
        <f>AD35</f>
        <v>1.820444444444444</v>
      </c>
      <c r="AE36" s="260"/>
      <c r="AF36" s="369"/>
      <c r="AG36" s="227">
        <f>jen</f>
        <v>0.8</v>
      </c>
      <c r="AH36" s="227"/>
    </row>
    <row r="37" spans="1:29" ht="9.75" customHeight="1">
      <c r="A37" s="1"/>
      <c r="B37" s="1"/>
      <c r="C37" s="1"/>
      <c r="D37" s="6"/>
      <c r="E37" s="6"/>
      <c r="F37" s="6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8" ht="9.75" customHeight="1">
      <c r="A38" s="6"/>
      <c r="B38" s="6"/>
      <c r="C38" s="6"/>
      <c r="D38" s="6"/>
      <c r="E38" s="1"/>
      <c r="F38" s="372" t="s">
        <v>387</v>
      </c>
      <c r="G38" s="372"/>
      <c r="H38" s="367" t="s">
        <v>52</v>
      </c>
      <c r="I38" s="373" t="s">
        <v>124</v>
      </c>
      <c r="J38" s="373"/>
      <c r="K38" s="369" t="s">
        <v>88</v>
      </c>
      <c r="L38" s="275" t="s">
        <v>142</v>
      </c>
      <c r="M38" s="275"/>
      <c r="N38" s="275"/>
      <c r="O38" s="369" t="s">
        <v>89</v>
      </c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</row>
    <row r="39" spans="1:28" ht="9.75" customHeight="1">
      <c r="A39" s="1"/>
      <c r="B39" s="1"/>
      <c r="C39" s="1"/>
      <c r="D39" s="6"/>
      <c r="E39" s="6"/>
      <c r="F39" s="372"/>
      <c r="G39" s="372"/>
      <c r="H39" s="367"/>
      <c r="I39" s="227" t="s">
        <v>55</v>
      </c>
      <c r="J39" s="227"/>
      <c r="K39" s="369"/>
      <c r="L39" s="227" t="s">
        <v>143</v>
      </c>
      <c r="M39" s="227"/>
      <c r="N39" s="227"/>
      <c r="O39" s="369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</row>
    <row r="40" spans="1:34" ht="9.75" customHeight="1">
      <c r="A40" s="6"/>
      <c r="B40" s="6"/>
      <c r="C40" s="6"/>
      <c r="D40" s="1"/>
      <c r="E40" s="1"/>
      <c r="F40" s="1"/>
      <c r="G40" s="1"/>
      <c r="H40" s="367" t="s">
        <v>52</v>
      </c>
      <c r="I40" s="275">
        <f>I35</f>
        <v>-115</v>
      </c>
      <c r="J40" s="275"/>
      <c r="K40" s="1" t="s">
        <v>21</v>
      </c>
      <c r="L40" s="273">
        <f>V35</f>
        <v>165.1</v>
      </c>
      <c r="M40" s="275"/>
      <c r="N40" s="34" t="s">
        <v>66</v>
      </c>
      <c r="O40" s="370">
        <f>L35</f>
        <v>-7.9375</v>
      </c>
      <c r="P40" s="370"/>
      <c r="Q40" s="369" t="s">
        <v>88</v>
      </c>
      <c r="R40" s="2" t="s">
        <v>149</v>
      </c>
      <c r="S40" s="8" t="s">
        <v>150</v>
      </c>
      <c r="T40" s="361">
        <f>AA35</f>
        <v>0.4444444444444444</v>
      </c>
      <c r="U40" s="361"/>
      <c r="V40" s="33" t="s">
        <v>66</v>
      </c>
      <c r="W40" s="361">
        <f>AD35</f>
        <v>1.820444444444444</v>
      </c>
      <c r="X40" s="361"/>
      <c r="Y40" s="369" t="s">
        <v>146</v>
      </c>
      <c r="AA40" s="42" t="s">
        <v>383</v>
      </c>
      <c r="AC40" s="55" t="s">
        <v>52</v>
      </c>
      <c r="AD40" s="383">
        <f>I40*L40^2*O40/I41/L41*(1+2*T40^2*W40)/(1+2*W41)</f>
        <v>2303.863294719095</v>
      </c>
      <c r="AE40" s="383"/>
      <c r="AF40" s="383"/>
      <c r="AG40" s="54" t="str">
        <f>AG33</f>
        <v>psi</v>
      </c>
      <c r="AH40" s="54"/>
    </row>
    <row r="41" spans="1:34" ht="9.75" customHeight="1">
      <c r="A41" s="6"/>
      <c r="B41" s="6"/>
      <c r="C41" s="6"/>
      <c r="D41" s="6"/>
      <c r="E41" s="6"/>
      <c r="F41" s="6"/>
      <c r="G41" s="6"/>
      <c r="H41" s="367"/>
      <c r="I41" s="227">
        <v>12</v>
      </c>
      <c r="J41" s="227"/>
      <c r="K41" s="23" t="s">
        <v>21</v>
      </c>
      <c r="L41" s="371">
        <f>L36</f>
        <v>333.3956705729167</v>
      </c>
      <c r="M41" s="227"/>
      <c r="N41" s="23"/>
      <c r="O41" s="23"/>
      <c r="P41" s="23"/>
      <c r="Q41" s="369"/>
      <c r="R41" s="23" t="s">
        <v>65</v>
      </c>
      <c r="S41" s="10"/>
      <c r="T41" s="23"/>
      <c r="U41" s="23"/>
      <c r="V41" s="22" t="s">
        <v>148</v>
      </c>
      <c r="W41" s="260">
        <f>W40</f>
        <v>1.820444444444444</v>
      </c>
      <c r="X41" s="260"/>
      <c r="Y41" s="369"/>
      <c r="AA41" s="42" t="s">
        <v>384</v>
      </c>
      <c r="AC41" s="55" t="s">
        <v>52</v>
      </c>
      <c r="AD41" s="383">
        <f>I40*L40^2*(-O40)/I41/L41*(1+2*T40^2*W40)/(1+2*W41)</f>
        <v>-2303.863294719095</v>
      </c>
      <c r="AE41" s="383"/>
      <c r="AF41" s="383"/>
      <c r="AG41" s="54" t="str">
        <f>AG40</f>
        <v>psi</v>
      </c>
      <c r="AH41" s="54"/>
    </row>
    <row r="42" spans="1:29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AC42" s="3"/>
    </row>
    <row r="43" spans="1:29" ht="9.75" customHeight="1">
      <c r="A43" s="6"/>
      <c r="B43" s="6"/>
      <c r="C43" s="6"/>
      <c r="D43" s="1"/>
      <c r="E43" s="9" t="str">
        <f>E21</f>
        <v>Long Side Plate</v>
      </c>
      <c r="F43" s="1"/>
      <c r="G43" s="1"/>
      <c r="H43" s="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3"/>
      <c r="W43" s="3"/>
      <c r="X43" s="3"/>
      <c r="Y43" s="3"/>
      <c r="Z43" s="3"/>
      <c r="AA43" s="3"/>
      <c r="AB43" s="3"/>
      <c r="AC43" s="3"/>
    </row>
    <row r="44" spans="1:33" ht="9.75" customHeight="1">
      <c r="A44" s="1"/>
      <c r="B44" s="1"/>
      <c r="C44" s="1"/>
      <c r="D44" s="1"/>
      <c r="E44" s="1"/>
      <c r="F44" s="372" t="s">
        <v>388</v>
      </c>
      <c r="G44" s="372"/>
      <c r="H44" s="367" t="s">
        <v>52</v>
      </c>
      <c r="I44" s="373" t="s">
        <v>87</v>
      </c>
      <c r="J44" s="373"/>
      <c r="K44" s="369" t="s">
        <v>114</v>
      </c>
      <c r="L44" s="275" t="s">
        <v>147</v>
      </c>
      <c r="M44" s="275"/>
      <c r="N44" s="275"/>
      <c r="O44" s="275"/>
      <c r="P44" s="369" t="s">
        <v>117</v>
      </c>
      <c r="Q44" s="275">
        <v>1</v>
      </c>
      <c r="R44" s="275"/>
      <c r="S44" s="1"/>
      <c r="T44" s="1"/>
      <c r="U44" s="1"/>
      <c r="AA44" s="42" t="s">
        <v>383</v>
      </c>
      <c r="AC44" s="55" t="s">
        <v>52</v>
      </c>
      <c r="AD44" s="383">
        <f>I46*L46^2*O46/I47/L47*(1+T46*(3-X46^2))/(1+2*T47)/AB47</f>
        <v>5323.4820004169615</v>
      </c>
      <c r="AE44" s="383"/>
      <c r="AF44" s="383"/>
      <c r="AG44" s="54" t="str">
        <f>AB22</f>
        <v>psi</v>
      </c>
    </row>
    <row r="45" spans="1:33" ht="9.75" customHeight="1">
      <c r="A45" s="6"/>
      <c r="B45" s="6"/>
      <c r="C45" s="6"/>
      <c r="D45" s="1"/>
      <c r="E45" s="1"/>
      <c r="F45" s="372"/>
      <c r="G45" s="372"/>
      <c r="H45" s="367"/>
      <c r="I45" s="227" t="s">
        <v>91</v>
      </c>
      <c r="J45" s="227"/>
      <c r="K45" s="369"/>
      <c r="L45" s="227" t="s">
        <v>143</v>
      </c>
      <c r="M45" s="227"/>
      <c r="N45" s="227"/>
      <c r="O45" s="227"/>
      <c r="P45" s="369"/>
      <c r="Q45" s="227" t="s">
        <v>547</v>
      </c>
      <c r="R45" s="227"/>
      <c r="S45" s="6"/>
      <c r="T45" s="6"/>
      <c r="U45" s="6"/>
      <c r="V45" s="3"/>
      <c r="W45" s="3"/>
      <c r="X45" s="3"/>
      <c r="Y45" s="3"/>
      <c r="Z45" s="3"/>
      <c r="AA45" s="42" t="s">
        <v>384</v>
      </c>
      <c r="AC45" s="55" t="s">
        <v>52</v>
      </c>
      <c r="AD45" s="383">
        <f>I46*L46^2*(-O46)/I47/L47*(1+T46*(3-X46^2))/(1+2*T47)/AB47</f>
        <v>-5323.4820004169615</v>
      </c>
      <c r="AE45" s="383"/>
      <c r="AF45" s="383"/>
      <c r="AG45" s="54" t="str">
        <f>AG44</f>
        <v>psi</v>
      </c>
    </row>
    <row r="46" spans="1:34" ht="9.75" customHeight="1">
      <c r="A46" s="1"/>
      <c r="B46" s="1"/>
      <c r="C46" s="1"/>
      <c r="D46" s="1"/>
      <c r="E46" s="1"/>
      <c r="F46" s="1"/>
      <c r="G46" s="1"/>
      <c r="H46" s="367" t="s">
        <v>52</v>
      </c>
      <c r="I46" s="275">
        <f>M22</f>
        <v>-115</v>
      </c>
      <c r="J46" s="275"/>
      <c r="K46" s="1" t="s">
        <v>21</v>
      </c>
      <c r="L46" s="273">
        <f>L18</f>
        <v>165.1</v>
      </c>
      <c r="M46" s="275"/>
      <c r="N46" s="34" t="s">
        <v>66</v>
      </c>
      <c r="O46" s="370">
        <f>lco2</f>
        <v>-12.7</v>
      </c>
      <c r="P46" s="370"/>
      <c r="Q46" s="369" t="s">
        <v>114</v>
      </c>
      <c r="R46" s="1" t="s">
        <v>123</v>
      </c>
      <c r="S46" s="3"/>
      <c r="T46" s="274">
        <f>kei</f>
        <v>1.820444444444444</v>
      </c>
      <c r="U46" s="274"/>
      <c r="V46" s="21" t="s">
        <v>120</v>
      </c>
      <c r="W46" s="8" t="s">
        <v>151</v>
      </c>
      <c r="X46" s="361">
        <f>alpha</f>
        <v>0.4444444444444444</v>
      </c>
      <c r="Y46" s="361"/>
      <c r="Z46" s="2" t="s">
        <v>122</v>
      </c>
      <c r="AA46" s="369" t="s">
        <v>117</v>
      </c>
      <c r="AB46" s="275">
        <v>1</v>
      </c>
      <c r="AC46" s="275"/>
      <c r="AD46" s="54"/>
      <c r="AH46" s="54"/>
    </row>
    <row r="47" spans="1:34" ht="9.75" customHeight="1">
      <c r="A47" s="1"/>
      <c r="B47" s="1"/>
      <c r="C47" s="1"/>
      <c r="D47" s="6"/>
      <c r="E47" s="6"/>
      <c r="F47" s="6"/>
      <c r="G47" s="6"/>
      <c r="H47" s="367"/>
      <c r="I47" s="227">
        <v>12</v>
      </c>
      <c r="J47" s="227"/>
      <c r="K47" s="23" t="s">
        <v>21</v>
      </c>
      <c r="L47" s="371">
        <f>li2</f>
        <v>1365.5886666666665</v>
      </c>
      <c r="M47" s="227"/>
      <c r="N47" s="23"/>
      <c r="O47" s="23"/>
      <c r="P47" s="23"/>
      <c r="Q47" s="369"/>
      <c r="R47" s="10" t="s">
        <v>123</v>
      </c>
      <c r="S47" s="22" t="s">
        <v>148</v>
      </c>
      <c r="T47" s="260">
        <f>T46</f>
        <v>1.820444444444444</v>
      </c>
      <c r="U47" s="227"/>
      <c r="V47" s="10"/>
      <c r="W47" s="10"/>
      <c r="X47" s="10"/>
      <c r="Y47" s="10"/>
      <c r="Z47" s="10"/>
      <c r="AA47" s="369"/>
      <c r="AB47" s="227">
        <f>jem</f>
        <v>0.6</v>
      </c>
      <c r="AC47" s="227"/>
      <c r="AD47" s="54"/>
      <c r="AH47" s="54"/>
    </row>
    <row r="48" spans="1:29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C48" s="3"/>
    </row>
    <row r="49" spans="1:28" ht="9.75" customHeight="1">
      <c r="A49" s="6"/>
      <c r="B49" s="6"/>
      <c r="C49" s="6"/>
      <c r="D49" s="6"/>
      <c r="E49" s="6"/>
      <c r="F49" s="372" t="s">
        <v>389</v>
      </c>
      <c r="G49" s="372"/>
      <c r="H49" s="367" t="s">
        <v>52</v>
      </c>
      <c r="I49" s="373" t="s">
        <v>87</v>
      </c>
      <c r="J49" s="373"/>
      <c r="K49" s="369" t="s">
        <v>88</v>
      </c>
      <c r="L49" s="275" t="s">
        <v>142</v>
      </c>
      <c r="M49" s="275"/>
      <c r="N49" s="275"/>
      <c r="O49" s="369" t="s">
        <v>89</v>
      </c>
      <c r="P49" s="6"/>
      <c r="Q49" s="6"/>
      <c r="R49" s="6"/>
      <c r="S49" s="6"/>
      <c r="T49" s="6"/>
      <c r="U49" s="6"/>
      <c r="V49" s="3"/>
      <c r="W49" s="3"/>
      <c r="X49" s="3"/>
      <c r="Y49" s="3"/>
      <c r="Z49" s="3"/>
      <c r="AA49" s="3"/>
      <c r="AB49" s="3"/>
    </row>
    <row r="50" spans="1:28" ht="9.75" customHeight="1">
      <c r="A50" s="1"/>
      <c r="B50" s="1"/>
      <c r="C50" s="1"/>
      <c r="D50" s="6"/>
      <c r="E50" s="6"/>
      <c r="F50" s="372"/>
      <c r="G50" s="372"/>
      <c r="H50" s="367"/>
      <c r="I50" s="227" t="s">
        <v>91</v>
      </c>
      <c r="J50" s="227"/>
      <c r="K50" s="369"/>
      <c r="L50" s="227" t="s">
        <v>143</v>
      </c>
      <c r="M50" s="227"/>
      <c r="N50" s="227"/>
      <c r="O50" s="369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</row>
    <row r="51" spans="1:34" ht="9.75" customHeight="1">
      <c r="A51" s="6"/>
      <c r="B51" s="6"/>
      <c r="C51" s="6"/>
      <c r="D51" s="1"/>
      <c r="E51" s="1"/>
      <c r="F51" s="1"/>
      <c r="G51" s="1"/>
      <c r="H51" s="367" t="s">
        <v>52</v>
      </c>
      <c r="I51" s="275">
        <f>I46</f>
        <v>-115</v>
      </c>
      <c r="J51" s="275"/>
      <c r="K51" s="1" t="s">
        <v>21</v>
      </c>
      <c r="L51" s="273">
        <f>L46</f>
        <v>165.1</v>
      </c>
      <c r="M51" s="275"/>
      <c r="N51" s="34" t="s">
        <v>66</v>
      </c>
      <c r="O51" s="370">
        <f>O46</f>
        <v>-12.7</v>
      </c>
      <c r="P51" s="370"/>
      <c r="Q51" s="369" t="s">
        <v>88</v>
      </c>
      <c r="R51" s="2" t="s">
        <v>149</v>
      </c>
      <c r="S51" s="8" t="s">
        <v>150</v>
      </c>
      <c r="T51" s="361">
        <f>X46</f>
        <v>0.4444444444444444</v>
      </c>
      <c r="U51" s="361"/>
      <c r="V51" s="33" t="s">
        <v>66</v>
      </c>
      <c r="W51" s="361">
        <f>T46</f>
        <v>1.820444444444444</v>
      </c>
      <c r="X51" s="361"/>
      <c r="Y51" s="369" t="s">
        <v>146</v>
      </c>
      <c r="AA51" s="42" t="s">
        <v>383</v>
      </c>
      <c r="AC51" s="55" t="s">
        <v>52</v>
      </c>
      <c r="AD51" s="383">
        <f>I51*L51^2*O51/I52/L52*(1+2*T51^2*W51)/(1+2*W52)</f>
        <v>899.9465994996465</v>
      </c>
      <c r="AE51" s="383"/>
      <c r="AF51" s="383"/>
      <c r="AG51" s="54" t="str">
        <f>AG44</f>
        <v>psi</v>
      </c>
      <c r="AH51" s="54"/>
    </row>
    <row r="52" spans="1:34" ht="9.75" customHeight="1">
      <c r="A52" s="6"/>
      <c r="B52" s="6"/>
      <c r="C52" s="6"/>
      <c r="D52" s="6"/>
      <c r="E52" s="6"/>
      <c r="F52" s="6"/>
      <c r="G52" s="6"/>
      <c r="H52" s="367"/>
      <c r="I52" s="227">
        <v>12</v>
      </c>
      <c r="J52" s="227"/>
      <c r="K52" s="23" t="s">
        <v>21</v>
      </c>
      <c r="L52" s="371">
        <f>L47</f>
        <v>1365.5886666666665</v>
      </c>
      <c r="M52" s="227"/>
      <c r="N52" s="23"/>
      <c r="O52" s="23"/>
      <c r="P52" s="23"/>
      <c r="Q52" s="369"/>
      <c r="R52" s="23" t="s">
        <v>65</v>
      </c>
      <c r="S52" s="10"/>
      <c r="T52" s="23"/>
      <c r="U52" s="32"/>
      <c r="V52" s="22" t="s">
        <v>148</v>
      </c>
      <c r="W52" s="260">
        <f>W51</f>
        <v>1.820444444444444</v>
      </c>
      <c r="X52" s="260"/>
      <c r="Y52" s="369"/>
      <c r="Z52" s="3"/>
      <c r="AA52" s="42" t="s">
        <v>384</v>
      </c>
      <c r="AC52" s="55" t="s">
        <v>52</v>
      </c>
      <c r="AD52" s="383">
        <f>I51*L51^2*(-O51)/I52/L52*(1+2*T51^2*W51)/(1+2*W52)</f>
        <v>-899.9465994996465</v>
      </c>
      <c r="AE52" s="383"/>
      <c r="AF52" s="383"/>
      <c r="AG52" s="54" t="str">
        <f>AG51</f>
        <v>psi</v>
      </c>
      <c r="AH52" s="54"/>
    </row>
    <row r="53" spans="1:29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C53" s="3"/>
    </row>
    <row r="54" spans="1:29" ht="9.75" customHeight="1">
      <c r="A54" s="1"/>
      <c r="B54" s="1"/>
      <c r="C54" s="1"/>
      <c r="D54" s="9" t="s">
        <v>92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AC54" s="3"/>
    </row>
    <row r="55" spans="1:37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3"/>
      <c r="W55" s="3"/>
      <c r="X55" s="3"/>
      <c r="Y55" s="3"/>
      <c r="Z55" s="3"/>
      <c r="AA55" s="3"/>
      <c r="AB55" s="3"/>
      <c r="AC55" s="3"/>
      <c r="AD55" s="284">
        <v>1.5</v>
      </c>
      <c r="AE55" s="284"/>
      <c r="AF55" s="30" t="s">
        <v>138</v>
      </c>
      <c r="AJ55" s="275" t="s">
        <v>566</v>
      </c>
      <c r="AK55" s="275"/>
    </row>
    <row r="56" spans="1:37" ht="9.75" customHeight="1">
      <c r="A56" s="1"/>
      <c r="B56" s="1"/>
      <c r="C56" s="1"/>
      <c r="D56" s="1"/>
      <c r="E56" s="9" t="str">
        <f>E15</f>
        <v>Short Side Plate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  <c r="AJ56" s="360" t="s">
        <v>567</v>
      </c>
      <c r="AK56" s="360"/>
    </row>
    <row r="57" spans="1:49" ht="9.75" customHeight="1">
      <c r="A57" s="1"/>
      <c r="B57" s="1"/>
      <c r="C57" s="1"/>
      <c r="D57" s="1"/>
      <c r="E57" s="1"/>
      <c r="F57" s="9" t="s">
        <v>93</v>
      </c>
      <c r="G57" s="1"/>
      <c r="H57" s="1" t="s">
        <v>52</v>
      </c>
      <c r="I57" s="288" t="str">
        <f>F16</f>
        <v>SmS</v>
      </c>
      <c r="J57" s="288"/>
      <c r="K57" s="21"/>
      <c r="L57" s="288" t="str">
        <f>F33</f>
        <v>(Sb)N</v>
      </c>
      <c r="M57" s="288"/>
      <c r="N57" s="21" t="s">
        <v>52</v>
      </c>
      <c r="O57" s="273">
        <f>X16</f>
        <v>-629.8516614999728</v>
      </c>
      <c r="P57" s="273"/>
      <c r="Q57" s="273"/>
      <c r="R57" s="21" t="s">
        <v>94</v>
      </c>
      <c r="S57" s="273">
        <f>AD33</f>
        <v>-7056.170881601127</v>
      </c>
      <c r="T57" s="273"/>
      <c r="U57" s="273"/>
      <c r="V57" s="42" t="s">
        <v>365</v>
      </c>
      <c r="X57" s="8" t="s">
        <v>95</v>
      </c>
      <c r="Y57" s="366">
        <f>O57+S57</f>
        <v>-7686.0225431010995</v>
      </c>
      <c r="Z57" s="366"/>
      <c r="AA57" s="366"/>
      <c r="AB57" s="2" t="str">
        <f>AG33</f>
        <v>psi</v>
      </c>
      <c r="AC57" s="26" t="str">
        <f>IF(ABS(Y57)&lt;=ABS(AD57),"&lt;","&gt;")</f>
        <v>&lt;</v>
      </c>
      <c r="AD57" s="365">
        <f>AD55*mas</f>
        <v>28200</v>
      </c>
      <c r="AE57" s="365"/>
      <c r="AF57" s="365"/>
      <c r="AG57" s="364" t="str">
        <f>IF(ABS(Y57)&lt;=ABS(AD57),"OK !","NO !")</f>
        <v>OK !</v>
      </c>
      <c r="AH57" s="364"/>
      <c r="AI57" s="8" t="s">
        <v>579</v>
      </c>
      <c r="AJ57" s="361">
        <f>ABS(Y57/AD57)</f>
        <v>0.2725539908901099</v>
      </c>
      <c r="AK57" s="361"/>
      <c r="AL57" s="43" t="str">
        <f>IF(AJ57&lt;&gt;AJ71,"*","M")</f>
        <v>M</v>
      </c>
      <c r="AM57" s="362" t="str">
        <f>IF(AJ57&lt;&gt;AJ71,"",E56)</f>
        <v>Short Side Plate</v>
      </c>
      <c r="AN57" s="328"/>
      <c r="AO57" s="328"/>
      <c r="AP57" s="363"/>
      <c r="AQ57" s="362" t="str">
        <f>IF(AJ57&lt;&gt;AJ71,"",AI57)</f>
        <v>N</v>
      </c>
      <c r="AR57" s="363"/>
      <c r="AS57" s="351">
        <f>IF(AJ57&lt;&gt;AJ71,"",Y57)</f>
        <v>-7686.0225431010995</v>
      </c>
      <c r="AT57" s="352"/>
      <c r="AU57" s="353">
        <f>IF(AJ57&lt;&gt;AJ71,"",AD57)</f>
        <v>28200</v>
      </c>
      <c r="AV57" s="353"/>
      <c r="AW57" s="135" t="str">
        <f>IF(AJ57&lt;&gt;AJ71,"",AG57)</f>
        <v>OK !</v>
      </c>
    </row>
    <row r="58" spans="1:49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1" t="s">
        <v>52</v>
      </c>
      <c r="O58" s="273">
        <f>O57</f>
        <v>-629.8516614999728</v>
      </c>
      <c r="P58" s="273"/>
      <c r="Q58" s="273"/>
      <c r="R58" s="21" t="s">
        <v>94</v>
      </c>
      <c r="S58" s="273">
        <f>AD34</f>
        <v>7056.170881601127</v>
      </c>
      <c r="T58" s="273"/>
      <c r="U58" s="273"/>
      <c r="V58" s="42" t="s">
        <v>366</v>
      </c>
      <c r="X58" s="8" t="s">
        <v>95</v>
      </c>
      <c r="Y58" s="366">
        <f>O58+S58</f>
        <v>6426.319220101154</v>
      </c>
      <c r="Z58" s="366"/>
      <c r="AA58" s="366"/>
      <c r="AB58" s="2" t="str">
        <f>AB57</f>
        <v>psi</v>
      </c>
      <c r="AC58" s="26" t="str">
        <f>IF(ABS(Y58)&lt;=ABS(AD58),"&lt;","&gt;")</f>
        <v>&lt;</v>
      </c>
      <c r="AD58" s="365">
        <f>AD57</f>
        <v>28200</v>
      </c>
      <c r="AE58" s="365"/>
      <c r="AF58" s="365"/>
      <c r="AG58" s="364" t="str">
        <f>IF(ABS(Y58)&lt;=ABS(AD58),"OK !","NO !")</f>
        <v>OK !</v>
      </c>
      <c r="AH58" s="364"/>
      <c r="AJ58" s="361">
        <f>ABS(Y58/AD58)</f>
        <v>0.22788366028727497</v>
      </c>
      <c r="AK58" s="361"/>
      <c r="AL58" s="43" t="str">
        <f>IF(AJ58&lt;&gt;AJ71,"*","M")</f>
        <v>*</v>
      </c>
      <c r="AM58" s="362">
        <f>IF(AJ58&lt;&gt;AJ71,"",E56)</f>
      </c>
      <c r="AN58" s="328"/>
      <c r="AO58" s="328"/>
      <c r="AP58" s="363"/>
      <c r="AQ58" s="362">
        <f>IF(AJ58&lt;&gt;AJ71,"",AI57)</f>
      </c>
      <c r="AR58" s="363"/>
      <c r="AS58" s="351">
        <f>IF(AJ58&lt;&gt;AJ71,"",Y58)</f>
      </c>
      <c r="AT58" s="352"/>
      <c r="AU58" s="353">
        <f>IF(AJ58&lt;&gt;AJ71,"",AD58)</f>
      </c>
      <c r="AV58" s="353"/>
      <c r="AW58" s="135">
        <f>IF(AJ58&lt;&gt;AJ71,"",AG58)</f>
      </c>
    </row>
    <row r="59" spans="1:49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3"/>
      <c r="AM59" s="133"/>
      <c r="AN59" s="1"/>
      <c r="AO59" s="1"/>
      <c r="AP59" s="134"/>
      <c r="AS59" s="133"/>
      <c r="AT59" s="134"/>
      <c r="AW59" s="133"/>
    </row>
    <row r="60" spans="1:49" ht="9.75" customHeight="1">
      <c r="A60" s="1"/>
      <c r="B60" s="1"/>
      <c r="C60" s="1"/>
      <c r="D60" s="1"/>
      <c r="E60" s="1"/>
      <c r="F60" s="9" t="s">
        <v>96</v>
      </c>
      <c r="G60" s="1"/>
      <c r="H60" s="1" t="s">
        <v>52</v>
      </c>
      <c r="I60" s="288" t="str">
        <f>F16</f>
        <v>SmS</v>
      </c>
      <c r="J60" s="288"/>
      <c r="K60" s="21"/>
      <c r="L60" s="288" t="str">
        <f>F38</f>
        <v>(Sb)QS</v>
      </c>
      <c r="M60" s="288"/>
      <c r="N60" s="21" t="s">
        <v>52</v>
      </c>
      <c r="O60" s="273">
        <f>O57</f>
        <v>-629.8516614999728</v>
      </c>
      <c r="P60" s="273"/>
      <c r="Q60" s="273"/>
      <c r="R60" s="21" t="s">
        <v>94</v>
      </c>
      <c r="S60" s="273">
        <f>AD40</f>
        <v>2303.863294719095</v>
      </c>
      <c r="T60" s="273"/>
      <c r="U60" s="273"/>
      <c r="V60" s="42" t="s">
        <v>365</v>
      </c>
      <c r="X60" s="8" t="s">
        <v>95</v>
      </c>
      <c r="Y60" s="366">
        <f>O60+S60</f>
        <v>1674.0116332191221</v>
      </c>
      <c r="Z60" s="366"/>
      <c r="AA60" s="366"/>
      <c r="AB60" s="2" t="str">
        <f>AB57</f>
        <v>psi</v>
      </c>
      <c r="AC60" s="26" t="str">
        <f>IF(ABS(Y60)&lt;=ABS(AD60),"&lt;","&gt;")</f>
        <v>&lt;</v>
      </c>
      <c r="AD60" s="365">
        <f>AD55*mas</f>
        <v>28200</v>
      </c>
      <c r="AE60" s="365"/>
      <c r="AF60" s="365"/>
      <c r="AG60" s="364" t="str">
        <f>IF(ABS(Y60)&lt;=ABS(AD60),"OK !","NO !")</f>
        <v>OK !</v>
      </c>
      <c r="AH60" s="364"/>
      <c r="AI60" s="8" t="s">
        <v>30</v>
      </c>
      <c r="AJ60" s="361">
        <f>ABS(Y60/AD60)</f>
        <v>0.05936211465316036</v>
      </c>
      <c r="AK60" s="361"/>
      <c r="AL60" s="43" t="str">
        <f>IF(AJ60&lt;&gt;AJ71,"*","M")</f>
        <v>*</v>
      </c>
      <c r="AM60" s="362">
        <f>IF(AJ60&lt;&gt;AJ71,"",E56)</f>
      </c>
      <c r="AN60" s="328"/>
      <c r="AO60" s="328"/>
      <c r="AP60" s="363"/>
      <c r="AQ60" s="362">
        <f>IF(AJ60&lt;&gt;AJ71,"",AI60)</f>
      </c>
      <c r="AR60" s="363"/>
      <c r="AS60" s="351">
        <f>IF(AJ60&lt;&gt;AJ71,"",Y60)</f>
      </c>
      <c r="AT60" s="352"/>
      <c r="AU60" s="353">
        <f>IF(AJ60&lt;&gt;AJ71,"",AD60)</f>
      </c>
      <c r="AV60" s="353"/>
      <c r="AW60" s="135">
        <f>IF(AJ60&lt;&gt;AJ71,"",AG60)</f>
      </c>
    </row>
    <row r="61" spans="1:4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1" t="s">
        <v>52</v>
      </c>
      <c r="O61" s="273">
        <f>O60</f>
        <v>-629.8516614999728</v>
      </c>
      <c r="P61" s="273"/>
      <c r="Q61" s="273"/>
      <c r="R61" s="21" t="s">
        <v>94</v>
      </c>
      <c r="S61" s="273">
        <f>AD41</f>
        <v>-2303.863294719095</v>
      </c>
      <c r="T61" s="273"/>
      <c r="U61" s="273"/>
      <c r="V61" s="42" t="s">
        <v>366</v>
      </c>
      <c r="W61" s="3"/>
      <c r="X61" s="8" t="s">
        <v>95</v>
      </c>
      <c r="Y61" s="366">
        <f>O61+S61</f>
        <v>-2933.714956219068</v>
      </c>
      <c r="Z61" s="366"/>
      <c r="AA61" s="366"/>
      <c r="AB61" s="2" t="str">
        <f>AB60</f>
        <v>psi</v>
      </c>
      <c r="AC61" s="26" t="str">
        <f>IF(ABS(Y61)&lt;=ABS(AD61),"&lt;","&gt;")</f>
        <v>&lt;</v>
      </c>
      <c r="AD61" s="365">
        <f>AD60</f>
        <v>28200</v>
      </c>
      <c r="AE61" s="365"/>
      <c r="AF61" s="365"/>
      <c r="AG61" s="364" t="str">
        <f>IF(ABS(Y61)&lt;=ABS(AD61),"OK !","NO !")</f>
        <v>OK !</v>
      </c>
      <c r="AH61" s="364"/>
      <c r="AJ61" s="361">
        <f>ABS(Y61/AD61)</f>
        <v>0.10403244525599532</v>
      </c>
      <c r="AK61" s="361"/>
      <c r="AL61" s="43" t="str">
        <f>IF(AJ61&lt;&gt;AJ71,"*","M")</f>
        <v>*</v>
      </c>
      <c r="AM61" s="362">
        <f>IF(AJ61&lt;&gt;AJ71,"",E56)</f>
      </c>
      <c r="AN61" s="328"/>
      <c r="AO61" s="328"/>
      <c r="AP61" s="363"/>
      <c r="AQ61" s="362">
        <f>IF(AJ61&lt;&gt;AJ71,"",AI60)</f>
      </c>
      <c r="AR61" s="363"/>
      <c r="AS61" s="357">
        <f>IF(AJ61&lt;&gt;AJ71,"",Y61)</f>
      </c>
      <c r="AT61" s="358"/>
      <c r="AU61" s="357">
        <f>IF(AJ61&lt;&gt;AJ71,"",AD61)</f>
      </c>
      <c r="AV61" s="359"/>
      <c r="AW61" s="135">
        <f>IF(AJ61&lt;&gt;AJ71,"",AG61)</f>
      </c>
    </row>
    <row r="62" spans="1:49" ht="9.75" customHeight="1">
      <c r="A62" s="6"/>
      <c r="B62" s="6"/>
      <c r="C62" s="6"/>
      <c r="D62" s="6"/>
      <c r="E62" s="9" t="str">
        <f>E21</f>
        <v>Long Side Plate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AC62" s="3"/>
      <c r="AD62" s="3"/>
      <c r="AE62" s="3"/>
      <c r="AF62" s="3"/>
      <c r="AM62" s="133"/>
      <c r="AN62" s="1"/>
      <c r="AO62" s="1"/>
      <c r="AP62" s="134"/>
      <c r="AS62" s="133"/>
      <c r="AT62" s="134"/>
      <c r="AW62" s="133"/>
    </row>
    <row r="63" spans="1:49" ht="9.75" customHeight="1">
      <c r="A63" s="6"/>
      <c r="B63" s="6"/>
      <c r="C63" s="6"/>
      <c r="D63" s="6"/>
      <c r="E63" s="6"/>
      <c r="F63" s="9" t="s">
        <v>97</v>
      </c>
      <c r="G63" s="1"/>
      <c r="H63" s="1" t="s">
        <v>52</v>
      </c>
      <c r="I63" s="288" t="str">
        <f>F22</f>
        <v>SmL</v>
      </c>
      <c r="J63" s="288"/>
      <c r="K63" s="21"/>
      <c r="L63" s="288" t="str">
        <f>F44</f>
        <v>(Sb)M</v>
      </c>
      <c r="M63" s="288"/>
      <c r="N63" s="21" t="s">
        <v>52</v>
      </c>
      <c r="O63" s="273">
        <f>Y22</f>
        <v>-574.9999999999999</v>
      </c>
      <c r="P63" s="273"/>
      <c r="Q63" s="273"/>
      <c r="R63" s="21" t="s">
        <v>94</v>
      </c>
      <c r="S63" s="273">
        <f>AD44</f>
        <v>5323.4820004169615</v>
      </c>
      <c r="T63" s="273"/>
      <c r="U63" s="273"/>
      <c r="V63" s="42" t="s">
        <v>365</v>
      </c>
      <c r="X63" s="8" t="s">
        <v>95</v>
      </c>
      <c r="Y63" s="366">
        <f>O63+S63</f>
        <v>4748.4820004169615</v>
      </c>
      <c r="Z63" s="366"/>
      <c r="AA63" s="366"/>
      <c r="AB63" s="2" t="str">
        <f>AG44</f>
        <v>psi</v>
      </c>
      <c r="AC63" s="26" t="str">
        <f>IF(ABS(Y63)&lt;=ABS(AD63),"&lt;","&gt;")</f>
        <v>&lt;</v>
      </c>
      <c r="AD63" s="365">
        <f>AD55*mas</f>
        <v>28200</v>
      </c>
      <c r="AE63" s="365"/>
      <c r="AF63" s="365"/>
      <c r="AG63" s="364" t="str">
        <f>IF(ABS(Y63)&lt;=ABS(AD63),"OK !","NO !")</f>
        <v>OK !</v>
      </c>
      <c r="AH63" s="364"/>
      <c r="AI63" s="8" t="s">
        <v>580</v>
      </c>
      <c r="AJ63" s="361">
        <f>ABS(Y63/AD63)</f>
        <v>0.16838588653960856</v>
      </c>
      <c r="AK63" s="361"/>
      <c r="AL63" s="43" t="str">
        <f>IF(AJ63&lt;&gt;AJ71,"*","M")</f>
        <v>*</v>
      </c>
      <c r="AM63" s="362">
        <f>IF(AJ63&lt;&gt;AJ71,"",E62)</f>
      </c>
      <c r="AN63" s="328"/>
      <c r="AO63" s="328"/>
      <c r="AP63" s="363"/>
      <c r="AQ63" s="362">
        <f>IF(AJ63&lt;&gt;AJ71,"",AI63)</f>
      </c>
      <c r="AR63" s="363"/>
      <c r="AS63" s="351">
        <f>IF(AJ63&lt;&gt;AJ71,"",Y63)</f>
      </c>
      <c r="AT63" s="352"/>
      <c r="AU63" s="353">
        <f>IF(AJ63&lt;&gt;AJ71,"",AD63)</f>
      </c>
      <c r="AV63" s="353"/>
      <c r="AW63" s="135">
        <f>IF(AJ63&lt;&gt;AJ71,"",AG63)</f>
      </c>
    </row>
    <row r="64" spans="1:49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" t="s">
        <v>52</v>
      </c>
      <c r="O64" s="273">
        <f>O63</f>
        <v>-574.9999999999999</v>
      </c>
      <c r="P64" s="273"/>
      <c r="Q64" s="273"/>
      <c r="R64" s="21" t="s">
        <v>94</v>
      </c>
      <c r="S64" s="273">
        <f>AD45</f>
        <v>-5323.4820004169615</v>
      </c>
      <c r="T64" s="273"/>
      <c r="U64" s="273"/>
      <c r="V64" s="42" t="s">
        <v>366</v>
      </c>
      <c r="W64" s="3"/>
      <c r="X64" s="8" t="s">
        <v>95</v>
      </c>
      <c r="Y64" s="366">
        <f>O64+S64</f>
        <v>-5898.4820004169615</v>
      </c>
      <c r="Z64" s="366"/>
      <c r="AA64" s="366"/>
      <c r="AB64" s="3" t="str">
        <f>AB63</f>
        <v>psi</v>
      </c>
      <c r="AC64" s="26" t="str">
        <f>IF(ABS(Y64)&lt;=ABS(AD64),"&lt;","&gt;")</f>
        <v>&lt;</v>
      </c>
      <c r="AD64" s="365">
        <f>AD63</f>
        <v>28200</v>
      </c>
      <c r="AE64" s="365"/>
      <c r="AF64" s="365"/>
      <c r="AG64" s="364" t="str">
        <f>IF(ABS(Y64)&lt;=ABS(AD64),"OK !","NO !")</f>
        <v>OK !</v>
      </c>
      <c r="AH64" s="364"/>
      <c r="AJ64" s="361">
        <f>ABS(Y64/AD64)</f>
        <v>0.2091660283835802</v>
      </c>
      <c r="AK64" s="361"/>
      <c r="AL64" s="43" t="str">
        <f>IF(AJ64&lt;&gt;AJ71,"*","M")</f>
        <v>*</v>
      </c>
      <c r="AM64" s="362">
        <f>IF(AJ64&lt;&gt;AJ71,"",E62)</f>
      </c>
      <c r="AN64" s="328"/>
      <c r="AO64" s="328"/>
      <c r="AP64" s="363"/>
      <c r="AQ64" s="362">
        <f>IF(AJ64&lt;&gt;AJ71,"",AI63)</f>
      </c>
      <c r="AR64" s="363"/>
      <c r="AS64" s="351">
        <f>IF(AJ64&lt;&gt;AJ71,"",Y64)</f>
      </c>
      <c r="AT64" s="352"/>
      <c r="AU64" s="353">
        <f>IF(AJ64&lt;&gt;AJ71,"",AD64)</f>
      </c>
      <c r="AV64" s="353"/>
      <c r="AW64" s="135">
        <f>IF(AJ64&lt;&gt;AJ71,"",AG64)</f>
      </c>
    </row>
    <row r="65" spans="1:49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3"/>
      <c r="W65" s="3"/>
      <c r="X65" s="3"/>
      <c r="Y65" s="3"/>
      <c r="Z65" s="3"/>
      <c r="AA65" s="3"/>
      <c r="AB65" s="3"/>
      <c r="AC65" s="3"/>
      <c r="AL65" s="43"/>
      <c r="AM65" s="131"/>
      <c r="AN65" s="43"/>
      <c r="AO65" s="43"/>
      <c r="AP65" s="132"/>
      <c r="AQ65" s="43"/>
      <c r="AR65" s="43"/>
      <c r="AS65" s="131"/>
      <c r="AT65" s="132"/>
      <c r="AU65" s="43"/>
      <c r="AV65" s="43"/>
      <c r="AW65" s="131"/>
    </row>
    <row r="66" spans="1:49" ht="9.75" customHeight="1">
      <c r="A66" s="1"/>
      <c r="B66" s="1"/>
      <c r="C66" s="1"/>
      <c r="D66" s="1"/>
      <c r="E66" s="1"/>
      <c r="F66" s="9" t="s">
        <v>96</v>
      </c>
      <c r="G66" s="1"/>
      <c r="H66" s="1" t="s">
        <v>52</v>
      </c>
      <c r="I66" s="288" t="str">
        <f>F22</f>
        <v>SmL</v>
      </c>
      <c r="J66" s="288"/>
      <c r="K66" s="21"/>
      <c r="L66" s="288" t="str">
        <f>F49</f>
        <v>(Sb)QL</v>
      </c>
      <c r="M66" s="288"/>
      <c r="N66" s="21" t="s">
        <v>52</v>
      </c>
      <c r="O66" s="273">
        <f>O63</f>
        <v>-574.9999999999999</v>
      </c>
      <c r="P66" s="273"/>
      <c r="Q66" s="273"/>
      <c r="R66" s="21" t="s">
        <v>94</v>
      </c>
      <c r="S66" s="273">
        <f>AD51</f>
        <v>899.9465994996465</v>
      </c>
      <c r="T66" s="273"/>
      <c r="U66" s="273"/>
      <c r="V66" s="42" t="s">
        <v>365</v>
      </c>
      <c r="X66" s="8" t="s">
        <v>95</v>
      </c>
      <c r="Y66" s="366">
        <f>O66+S66</f>
        <v>324.9465994996466</v>
      </c>
      <c r="Z66" s="366"/>
      <c r="AA66" s="366"/>
      <c r="AB66" s="2" t="str">
        <f>AB63</f>
        <v>psi</v>
      </c>
      <c r="AC66" s="26" t="str">
        <f>IF(ABS(Y66)&lt;=ABS(AD66),"&lt;","&gt;")</f>
        <v>&lt;</v>
      </c>
      <c r="AD66" s="365">
        <f>AD55*mas</f>
        <v>28200</v>
      </c>
      <c r="AE66" s="365"/>
      <c r="AF66" s="365"/>
      <c r="AG66" s="364" t="str">
        <f>IF(ABS(Y66)&lt;=ABS(AD66),"OK !","NO !")</f>
        <v>OK !</v>
      </c>
      <c r="AH66" s="364"/>
      <c r="AI66" s="8" t="s">
        <v>30</v>
      </c>
      <c r="AJ66" s="361">
        <f>ABS(Y66/AD66)</f>
        <v>0.011522929060271156</v>
      </c>
      <c r="AK66" s="361"/>
      <c r="AL66" s="43" t="str">
        <f>IF(AJ66&lt;&gt;AJ71,"*","M")</f>
        <v>*</v>
      </c>
      <c r="AM66" s="362">
        <f>IF(AJ66&lt;&gt;AJ71,"",E62)</f>
      </c>
      <c r="AN66" s="328"/>
      <c r="AO66" s="328"/>
      <c r="AP66" s="363"/>
      <c r="AQ66" s="362">
        <f>IF(AJ66&lt;&gt;AJ71,"",AI66)</f>
      </c>
      <c r="AR66" s="363"/>
      <c r="AS66" s="351">
        <f>IF(AJ66&lt;&gt;AJ71,"",Y66)</f>
      </c>
      <c r="AT66" s="352"/>
      <c r="AU66" s="353">
        <f>IF(AJ66&lt;&gt;AJ71,"",AD66)</f>
      </c>
      <c r="AV66" s="353"/>
      <c r="AW66" s="135">
        <f>IF(AJ66&lt;&gt;AJ71,"",AG66)</f>
      </c>
    </row>
    <row r="67" spans="1:49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1" t="s">
        <v>52</v>
      </c>
      <c r="O67" s="273">
        <f>O66</f>
        <v>-574.9999999999999</v>
      </c>
      <c r="P67" s="273"/>
      <c r="Q67" s="273"/>
      <c r="R67" s="21" t="s">
        <v>94</v>
      </c>
      <c r="S67" s="273">
        <f>AD52</f>
        <v>-899.9465994996465</v>
      </c>
      <c r="T67" s="273"/>
      <c r="U67" s="273"/>
      <c r="V67" s="42" t="s">
        <v>366</v>
      </c>
      <c r="X67" s="8" t="s">
        <v>95</v>
      </c>
      <c r="Y67" s="366">
        <f>O67+S67</f>
        <v>-1474.9465994996463</v>
      </c>
      <c r="Z67" s="366"/>
      <c r="AA67" s="366"/>
      <c r="AB67" s="2" t="str">
        <f>AB66</f>
        <v>psi</v>
      </c>
      <c r="AC67" s="26" t="str">
        <f>IF(ABS(Y67)&lt;=ABS(AD67),"&lt;","&gt;")</f>
        <v>&lt;</v>
      </c>
      <c r="AD67" s="365">
        <f>AD66</f>
        <v>28200</v>
      </c>
      <c r="AE67" s="365"/>
      <c r="AF67" s="365"/>
      <c r="AG67" s="364" t="str">
        <f>IF(ABS(Y67)&lt;=ABS(AD67),"OK !","NO !")</f>
        <v>OK !</v>
      </c>
      <c r="AH67" s="364"/>
      <c r="AI67" s="8"/>
      <c r="AJ67" s="361">
        <f>ABS(Y67/AD67)</f>
        <v>0.05230307090424278</v>
      </c>
      <c r="AK67" s="361"/>
      <c r="AL67" s="47" t="str">
        <f>IF(AJ67&lt;&gt;AJ71,"*","M")</f>
        <v>*</v>
      </c>
      <c r="AM67" s="379">
        <f>IF(AJ67&lt;&gt;AJ71,"",E62)</f>
      </c>
      <c r="AN67" s="197"/>
      <c r="AO67" s="197"/>
      <c r="AP67" s="380"/>
      <c r="AQ67" s="379">
        <f>IF(AJ67&lt;&gt;AJ71,"",AI66)</f>
      </c>
      <c r="AR67" s="380"/>
      <c r="AS67" s="502">
        <f>IF(AJ67&lt;&gt;AJ71,"",Y67)</f>
      </c>
      <c r="AT67" s="503"/>
      <c r="AU67" s="504">
        <f>IF(AJ67&lt;&gt;AJ71,"",AD67)</f>
      </c>
      <c r="AV67" s="504"/>
      <c r="AW67" s="142">
        <f>IF(AJ67&lt;&gt;AJ71,"",AG67)</f>
      </c>
    </row>
    <row r="68" spans="1:49" ht="9.75" customHeight="1">
      <c r="A68" s="1"/>
      <c r="B68" s="1"/>
      <c r="C68" s="1"/>
      <c r="D68" s="1"/>
      <c r="E68" s="9" t="str">
        <f>E24</f>
        <v>Stay Plate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  <c r="AD68" s="360" t="s">
        <v>137</v>
      </c>
      <c r="AE68" s="360"/>
      <c r="AF68" s="360"/>
      <c r="AJ68" s="239"/>
      <c r="AK68" s="229"/>
      <c r="AL68" s="49"/>
      <c r="AM68" s="229" t="str">
        <f>IF(AL57="M",AM57,IF(AL58="M",AM58,IF(AL60="M",AM60,IF(AL61="M",AM61,IF(AL63="M",AM63,IF(AL64="M",AM64,IF(AL66="M",AM66,IF(AL67="M",AM67))))))))</f>
        <v>Short Side Plate</v>
      </c>
      <c r="AN68" s="229"/>
      <c r="AO68" s="229"/>
      <c r="AP68" s="229"/>
      <c r="AQ68" s="229" t="str">
        <f>IF(AL57="M",AQ57,IF(AL58="M",AQ58,IF(AL60="M",AQ60,IF(AL61="M",AQ61,IF(AL63="M",AQ63,IF(AL64="M",AQ64,IF(AL66="M",AQ66,IF(AL67="M",AQ67))))))))</f>
        <v>N</v>
      </c>
      <c r="AR68" s="229"/>
      <c r="AS68" s="422">
        <f>IF(AL57="M",AS57,IF(AL58="M",AS58,IF(AL60="M",AS60,IF(AL61="M",AS61,IF(AL63="M",AS63,IF(AL64="M",AS64,IF(AL66="M",AS66,IF(AL67="M",AS67))))))))</f>
        <v>-7686.0225431010995</v>
      </c>
      <c r="AT68" s="422"/>
      <c r="AU68" s="422">
        <f>IF(AL57="M",AU57,IF(AL58="M",AU58,IF(AL60="M",AU60,IF(AL61="M",AU61,IF(AL63="M",AU63,IF(AL64="M",AU64,IF(AL66="M",AU66,IF(AL67="M",AU67))))))))</f>
        <v>28200</v>
      </c>
      <c r="AV68" s="422"/>
      <c r="AW68" s="49" t="str">
        <f>IF(AL57="M",AW57,IF(AL58="M",AW58,IF(AL60="M",AW60,IF(AL61="M",AW61,IF(AL63="M",AW63,IF(AL64="M",AW64,IF(AL66="M",AW66,IF(AL67="M",AW67))))))))</f>
        <v>OK !</v>
      </c>
    </row>
    <row r="69" spans="1:49" ht="9.75" customHeight="1">
      <c r="A69" s="6"/>
      <c r="B69" s="6"/>
      <c r="C69" s="6"/>
      <c r="D69" s="6"/>
      <c r="E69" s="6"/>
      <c r="F69" s="7" t="s">
        <v>132</v>
      </c>
      <c r="G69" s="6"/>
      <c r="H69" s="6" t="s">
        <v>133</v>
      </c>
      <c r="I69" s="288" t="str">
        <f>F25</f>
        <v>SmSP</v>
      </c>
      <c r="J69" s="288"/>
      <c r="K69" s="6"/>
      <c r="L69" s="6"/>
      <c r="M69" s="6"/>
      <c r="N69" s="21"/>
      <c r="O69" s="273"/>
      <c r="P69" s="275"/>
      <c r="Q69" s="275"/>
      <c r="R69" s="6"/>
      <c r="S69" s="6"/>
      <c r="T69" s="6"/>
      <c r="U69" s="6"/>
      <c r="W69" s="3"/>
      <c r="X69" s="8" t="s">
        <v>95</v>
      </c>
      <c r="Y69" s="366">
        <f>X25</f>
        <v>-1730.2966770000544</v>
      </c>
      <c r="Z69" s="366"/>
      <c r="AA69" s="366"/>
      <c r="AB69" s="2" t="str">
        <f>AA25</f>
        <v>psi</v>
      </c>
      <c r="AC69" s="26" t="str">
        <f>IF(ABS(Y69)&lt;=ABS(AD69),"&lt;","&gt;")</f>
        <v>&lt;</v>
      </c>
      <c r="AD69" s="273">
        <f>AD25</f>
        <v>18800</v>
      </c>
      <c r="AE69" s="273"/>
      <c r="AF69" s="273"/>
      <c r="AG69" s="364" t="str">
        <f>IF(ABS(Y69)&lt;=ABS(AD69),"OK !","NO !")</f>
        <v>OK !</v>
      </c>
      <c r="AH69" s="364"/>
      <c r="AI69" s="8" t="s">
        <v>180</v>
      </c>
      <c r="AJ69" s="361">
        <f>ABS(Y69/AD69)</f>
        <v>0.09203705728723693</v>
      </c>
      <c r="AK69" s="361"/>
      <c r="AL69" s="63" t="str">
        <f>IF(AJ69&lt;&gt;AJ71,"*","M")</f>
        <v>*</v>
      </c>
      <c r="AM69" s="379">
        <f>IF(AJ69&lt;&gt;AJ71,"",E68)</f>
      </c>
      <c r="AN69" s="197"/>
      <c r="AO69" s="197"/>
      <c r="AP69" s="380"/>
      <c r="AQ69" s="379">
        <f>IF(AJ69&lt;&gt;AJ71,"",AI69)</f>
      </c>
      <c r="AR69" s="380"/>
      <c r="AS69" s="505">
        <f>IF(AJ69&lt;&gt;AJ71,"",Y69)</f>
      </c>
      <c r="AT69" s="506"/>
      <c r="AU69" s="507">
        <f>IF(AJ69&lt;&gt;AJ71,"",AD69)</f>
      </c>
      <c r="AV69" s="507"/>
      <c r="AW69" s="143">
        <f>IF(AJ69&lt;&gt;AJ71,"",AG69)</f>
      </c>
    </row>
    <row r="70" spans="1:49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C70" s="3"/>
      <c r="AJ70" s="227" t="s">
        <v>568</v>
      </c>
      <c r="AK70" s="227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  <c r="AJ71" s="274">
        <f>MAX(AJ57,AJ58,AJ60,AJ61,AJ63,AJ64,AJ66,AJ67,AJ69)</f>
        <v>0.2725539908901099</v>
      </c>
      <c r="AK71" s="275"/>
      <c r="AM71" s="304" t="str">
        <f>IF(AM69&lt;&gt;"",AM69,AM68)</f>
        <v>Short Side Plate</v>
      </c>
      <c r="AN71" s="304"/>
      <c r="AO71" s="304"/>
      <c r="AP71" s="304"/>
      <c r="AQ71" s="304" t="str">
        <f>IF(AQ69&lt;&gt;"",AQ69,AQ68)</f>
        <v>N</v>
      </c>
      <c r="AR71" s="304"/>
      <c r="AS71" s="350">
        <f>IF(AS69&lt;&gt;"",AS69,AS68)</f>
        <v>-7686.0225431010995</v>
      </c>
      <c r="AT71" s="350"/>
      <c r="AU71" s="350">
        <f>IF(AU69&lt;&gt;"",AU69,AU68)</f>
        <v>28200</v>
      </c>
      <c r="AV71" s="350"/>
      <c r="AW71" s="2" t="str">
        <f>IF(AW69&lt;&gt;"",AW69,AW68)</f>
        <v>OK !</v>
      </c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281">
    <mergeCell ref="AC9:AG9"/>
    <mergeCell ref="AU66:AV66"/>
    <mergeCell ref="AQ63:AR63"/>
    <mergeCell ref="AQ64:AR64"/>
    <mergeCell ref="AQ66:AR66"/>
    <mergeCell ref="AJ55:AK55"/>
    <mergeCell ref="AS57:AT57"/>
    <mergeCell ref="AU57:AV57"/>
    <mergeCell ref="AJ60:AK60"/>
    <mergeCell ref="AS60:AT60"/>
    <mergeCell ref="AU60:AV60"/>
    <mergeCell ref="AQ57:AR57"/>
    <mergeCell ref="AQ58:AR58"/>
    <mergeCell ref="AQ60:AR60"/>
    <mergeCell ref="AU58:AV58"/>
    <mergeCell ref="AM57:AP57"/>
    <mergeCell ref="AS71:AT71"/>
    <mergeCell ref="AU71:AV71"/>
    <mergeCell ref="AJ68:AK68"/>
    <mergeCell ref="AS68:AT68"/>
    <mergeCell ref="AU68:AV68"/>
    <mergeCell ref="AQ69:AR69"/>
    <mergeCell ref="AQ68:AR68"/>
    <mergeCell ref="AQ71:AR71"/>
    <mergeCell ref="AM68:AP68"/>
    <mergeCell ref="AS69:AT69"/>
    <mergeCell ref="AU69:AV69"/>
    <mergeCell ref="AQ67:AR67"/>
    <mergeCell ref="AM67:AP67"/>
    <mergeCell ref="AM69:AP69"/>
    <mergeCell ref="AJ67:AK67"/>
    <mergeCell ref="AS67:AT67"/>
    <mergeCell ref="AU67:AV67"/>
    <mergeCell ref="AJ63:AK63"/>
    <mergeCell ref="AS63:AT63"/>
    <mergeCell ref="AU63:AV63"/>
    <mergeCell ref="AJ66:AK66"/>
    <mergeCell ref="AS66:AT66"/>
    <mergeCell ref="AM66:AP66"/>
    <mergeCell ref="AS58:AT58"/>
    <mergeCell ref="AJ64:AK64"/>
    <mergeCell ref="AS64:AT64"/>
    <mergeCell ref="AJ61:AK61"/>
    <mergeCell ref="AS61:AT61"/>
    <mergeCell ref="AU64:AV64"/>
    <mergeCell ref="AQ61:AR61"/>
    <mergeCell ref="AM61:AP61"/>
    <mergeCell ref="AM64:AP64"/>
    <mergeCell ref="AU61:AV61"/>
    <mergeCell ref="AM71:AP71"/>
    <mergeCell ref="AJ56:AK56"/>
    <mergeCell ref="AJ57:AK57"/>
    <mergeCell ref="AJ58:AK58"/>
    <mergeCell ref="AM58:AP58"/>
    <mergeCell ref="AM60:AP60"/>
    <mergeCell ref="AJ70:AK70"/>
    <mergeCell ref="AJ69:AK69"/>
    <mergeCell ref="AJ71:AK71"/>
    <mergeCell ref="AM63:AP63"/>
    <mergeCell ref="S16:T16"/>
    <mergeCell ref="S17:T17"/>
    <mergeCell ref="AB18:AC18"/>
    <mergeCell ref="AB19:AC19"/>
    <mergeCell ref="AA16:AB17"/>
    <mergeCell ref="T33:U33"/>
    <mergeCell ref="T34:U34"/>
    <mergeCell ref="AB46:AC46"/>
    <mergeCell ref="AB47:AC47"/>
    <mergeCell ref="T47:U47"/>
    <mergeCell ref="AA46:AA47"/>
    <mergeCell ref="AA35:AB35"/>
    <mergeCell ref="AG35:AH35"/>
    <mergeCell ref="AG36:AH36"/>
    <mergeCell ref="Q44:R44"/>
    <mergeCell ref="Q45:R45"/>
    <mergeCell ref="AD44:AF44"/>
    <mergeCell ref="AD45:AF45"/>
    <mergeCell ref="Y40:Y41"/>
    <mergeCell ref="W41:X41"/>
    <mergeCell ref="T40:U40"/>
    <mergeCell ref="W40:X40"/>
    <mergeCell ref="O67:Q67"/>
    <mergeCell ref="S67:U67"/>
    <mergeCell ref="O61:Q61"/>
    <mergeCell ref="S61:U61"/>
    <mergeCell ref="O64:Q64"/>
    <mergeCell ref="S64:U64"/>
    <mergeCell ref="O66:Q66"/>
    <mergeCell ref="S66:U66"/>
    <mergeCell ref="O63:Q63"/>
    <mergeCell ref="S63:U63"/>
    <mergeCell ref="AD51:AF51"/>
    <mergeCell ref="AD52:AF52"/>
    <mergeCell ref="O58:Q58"/>
    <mergeCell ref="S58:U58"/>
    <mergeCell ref="Y51:Y52"/>
    <mergeCell ref="AD57:AF57"/>
    <mergeCell ref="AD58:AF58"/>
    <mergeCell ref="Y58:AA58"/>
    <mergeCell ref="AD33:AF33"/>
    <mergeCell ref="AD34:AF34"/>
    <mergeCell ref="AD40:AF40"/>
    <mergeCell ref="AD41:AF41"/>
    <mergeCell ref="AD35:AE35"/>
    <mergeCell ref="AF35:AF36"/>
    <mergeCell ref="P44:P45"/>
    <mergeCell ref="Q46:Q47"/>
    <mergeCell ref="T46:U46"/>
    <mergeCell ref="X46:Y46"/>
    <mergeCell ref="O46:P46"/>
    <mergeCell ref="I51:J51"/>
    <mergeCell ref="L51:M51"/>
    <mergeCell ref="O51:P51"/>
    <mergeCell ref="Q51:Q52"/>
    <mergeCell ref="I47:J47"/>
    <mergeCell ref="L47:M47"/>
    <mergeCell ref="I49:J49"/>
    <mergeCell ref="K49:K50"/>
    <mergeCell ref="L49:N49"/>
    <mergeCell ref="I50:J50"/>
    <mergeCell ref="L50:N50"/>
    <mergeCell ref="I45:J45"/>
    <mergeCell ref="I46:J46"/>
    <mergeCell ref="L46:M46"/>
    <mergeCell ref="K44:K45"/>
    <mergeCell ref="L44:O44"/>
    <mergeCell ref="L45:O45"/>
    <mergeCell ref="L40:M40"/>
    <mergeCell ref="O40:P40"/>
    <mergeCell ref="Q40:Q41"/>
    <mergeCell ref="I41:J41"/>
    <mergeCell ref="L41:M41"/>
    <mergeCell ref="L36:M36"/>
    <mergeCell ref="AD36:AE36"/>
    <mergeCell ref="T35:U36"/>
    <mergeCell ref="S35:S36"/>
    <mergeCell ref="V35:W36"/>
    <mergeCell ref="X35:X36"/>
    <mergeCell ref="K38:K39"/>
    <mergeCell ref="L38:N38"/>
    <mergeCell ref="O38:O39"/>
    <mergeCell ref="I39:J39"/>
    <mergeCell ref="L39:N39"/>
    <mergeCell ref="AD68:AF68"/>
    <mergeCell ref="AD55:AE55"/>
    <mergeCell ref="I33:J33"/>
    <mergeCell ref="K33:K34"/>
    <mergeCell ref="L33:O34"/>
    <mergeCell ref="P33:R33"/>
    <mergeCell ref="S33:S34"/>
    <mergeCell ref="I57:J57"/>
    <mergeCell ref="I63:J63"/>
    <mergeCell ref="L63:M63"/>
    <mergeCell ref="I69:J69"/>
    <mergeCell ref="Y69:AA69"/>
    <mergeCell ref="AD69:AF69"/>
    <mergeCell ref="AG69:AH69"/>
    <mergeCell ref="O69:Q69"/>
    <mergeCell ref="I66:J66"/>
    <mergeCell ref="L66:M66"/>
    <mergeCell ref="L57:M57"/>
    <mergeCell ref="I60:J60"/>
    <mergeCell ref="L60:M60"/>
    <mergeCell ref="AG57:AH57"/>
    <mergeCell ref="O60:Q60"/>
    <mergeCell ref="S60:U60"/>
    <mergeCell ref="Y60:AA60"/>
    <mergeCell ref="AD60:AF60"/>
    <mergeCell ref="AG60:AH60"/>
    <mergeCell ref="O57:Q57"/>
    <mergeCell ref="S57:U57"/>
    <mergeCell ref="Y57:AA57"/>
    <mergeCell ref="AG58:AH58"/>
    <mergeCell ref="F49:G50"/>
    <mergeCell ref="H49:H50"/>
    <mergeCell ref="H51:H52"/>
    <mergeCell ref="Y61:AA61"/>
    <mergeCell ref="O49:O50"/>
    <mergeCell ref="I52:J52"/>
    <mergeCell ref="L52:M52"/>
    <mergeCell ref="T51:U51"/>
    <mergeCell ref="W51:X51"/>
    <mergeCell ref="W52:X52"/>
    <mergeCell ref="I34:J34"/>
    <mergeCell ref="H40:H41"/>
    <mergeCell ref="F44:G45"/>
    <mergeCell ref="H44:H45"/>
    <mergeCell ref="F38:G39"/>
    <mergeCell ref="H38:H39"/>
    <mergeCell ref="I38:J38"/>
    <mergeCell ref="I36:J36"/>
    <mergeCell ref="I40:J40"/>
    <mergeCell ref="I44:J44"/>
    <mergeCell ref="H46:H47"/>
    <mergeCell ref="F33:G34"/>
    <mergeCell ref="H33:H34"/>
    <mergeCell ref="P34:R34"/>
    <mergeCell ref="I35:J35"/>
    <mergeCell ref="L35:M35"/>
    <mergeCell ref="N35:N36"/>
    <mergeCell ref="O35:P36"/>
    <mergeCell ref="Q35:R36"/>
    <mergeCell ref="H35:H36"/>
    <mergeCell ref="AG16:AH17"/>
    <mergeCell ref="AG22:AH22"/>
    <mergeCell ref="W25:W26"/>
    <mergeCell ref="X25:Z26"/>
    <mergeCell ref="AA25:AB26"/>
    <mergeCell ref="AC25:AC26"/>
    <mergeCell ref="AD25:AF26"/>
    <mergeCell ref="AG25:AH26"/>
    <mergeCell ref="W16:W17"/>
    <mergeCell ref="X16:Z17"/>
    <mergeCell ref="AD22:AF22"/>
    <mergeCell ref="V22:W22"/>
    <mergeCell ref="O18:O19"/>
    <mergeCell ref="P18:P19"/>
    <mergeCell ref="AD14:AF14"/>
    <mergeCell ref="AD16:AF17"/>
    <mergeCell ref="AC16:AC17"/>
    <mergeCell ref="X18:Y18"/>
    <mergeCell ref="AA18:AA19"/>
    <mergeCell ref="F16:G17"/>
    <mergeCell ref="H16:H17"/>
    <mergeCell ref="R16:R17"/>
    <mergeCell ref="I18:J18"/>
    <mergeCell ref="L18:M18"/>
    <mergeCell ref="K16:K17"/>
    <mergeCell ref="L16:L17"/>
    <mergeCell ref="H18:H19"/>
    <mergeCell ref="L19:M19"/>
    <mergeCell ref="N18:N19"/>
    <mergeCell ref="I25:J25"/>
    <mergeCell ref="I16:J16"/>
    <mergeCell ref="I17:J17"/>
    <mergeCell ref="H25:H26"/>
    <mergeCell ref="I19:J19"/>
    <mergeCell ref="F25:G26"/>
    <mergeCell ref="S27:T27"/>
    <mergeCell ref="X27:Y27"/>
    <mergeCell ref="S28:T28"/>
    <mergeCell ref="H27:H28"/>
    <mergeCell ref="I26:J26"/>
    <mergeCell ref="K25:K26"/>
    <mergeCell ref="L25:O25"/>
    <mergeCell ref="L26:O26"/>
    <mergeCell ref="P25:P26"/>
    <mergeCell ref="AA27:AA28"/>
    <mergeCell ref="L27:M27"/>
    <mergeCell ref="I28:J28"/>
    <mergeCell ref="L28:M28"/>
    <mergeCell ref="P27:P28"/>
    <mergeCell ref="I27:J27"/>
    <mergeCell ref="AC8:AG8"/>
    <mergeCell ref="M22:N22"/>
    <mergeCell ref="P22:Q22"/>
    <mergeCell ref="S22:T22"/>
    <mergeCell ref="Y22:AA22"/>
    <mergeCell ref="S18:T18"/>
    <mergeCell ref="S19:T19"/>
    <mergeCell ref="M16:M17"/>
    <mergeCell ref="N16:Q16"/>
    <mergeCell ref="N17:Q17"/>
    <mergeCell ref="A1:AH3"/>
    <mergeCell ref="AC6:AG6"/>
    <mergeCell ref="AC7:AD7"/>
    <mergeCell ref="AF7:AG7"/>
    <mergeCell ref="AG61:AH61"/>
    <mergeCell ref="AG64:AH64"/>
    <mergeCell ref="AG67:AH67"/>
    <mergeCell ref="AG66:AH66"/>
    <mergeCell ref="AG63:AH63"/>
    <mergeCell ref="Y64:AA64"/>
    <mergeCell ref="Y67:AA67"/>
    <mergeCell ref="AD61:AF61"/>
    <mergeCell ref="AD64:AF64"/>
    <mergeCell ref="AD67:AF67"/>
    <mergeCell ref="Y66:AA66"/>
    <mergeCell ref="AD66:AF66"/>
    <mergeCell ref="Y63:AA63"/>
    <mergeCell ref="AD63:AF6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W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0" width="2.3359375" style="2" customWidth="1"/>
    <col min="51" max="16384" width="8.88671875" style="2" customWidth="1"/>
  </cols>
  <sheetData>
    <row r="1" spans="1:34" ht="9.75" customHeight="1">
      <c r="A1" s="374" t="str">
        <f>title</f>
        <v>S T R E N G T H     C A L.     o f     R E C T A N G U L A R     V E S S E L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</row>
    <row r="2" spans="1:34" ht="9.75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</row>
    <row r="3" spans="1:34" ht="9.75" customHeigh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C5" s="3"/>
    </row>
    <row r="6" spans="1:34" ht="9.75" customHeight="1">
      <c r="A6" s="6"/>
      <c r="B6" s="6" t="s">
        <v>394</v>
      </c>
      <c r="C6" s="6"/>
      <c r="D6" s="6"/>
      <c r="E6" s="7" t="str">
        <f>project</f>
        <v>Programming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5"/>
      <c r="U6" s="5"/>
      <c r="V6" s="5"/>
      <c r="Y6" s="3"/>
      <c r="Z6" s="6" t="s">
        <v>395</v>
      </c>
      <c r="AA6" s="3"/>
      <c r="AB6" s="3"/>
      <c r="AC6" s="377" t="str">
        <f>docno</f>
        <v>SC - RPV - 100</v>
      </c>
      <c r="AD6" s="377"/>
      <c r="AE6" s="377"/>
      <c r="AF6" s="377"/>
      <c r="AG6" s="377"/>
      <c r="AH6" s="4"/>
    </row>
    <row r="7" spans="1:34" ht="9.75" customHeight="1">
      <c r="A7" s="6"/>
      <c r="B7" s="6" t="s">
        <v>396</v>
      </c>
      <c r="C7" s="6"/>
      <c r="D7" s="6"/>
      <c r="E7" s="7" t="str">
        <f>itemno</f>
        <v>13-17 Example, P430~1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Y7" s="6"/>
      <c r="Z7" s="6" t="s">
        <v>397</v>
      </c>
      <c r="AA7" s="3"/>
      <c r="AB7" s="3"/>
      <c r="AC7" s="311">
        <v>6</v>
      </c>
      <c r="AD7" s="311"/>
      <c r="AE7" s="8" t="s">
        <v>398</v>
      </c>
      <c r="AF7" s="304" t="str">
        <f>sheetqty</f>
        <v>x</v>
      </c>
      <c r="AG7" s="304"/>
      <c r="AH7" s="4"/>
    </row>
    <row r="8" spans="1:34" ht="9.75" customHeight="1">
      <c r="A8" s="6"/>
      <c r="B8" s="6" t="s">
        <v>399</v>
      </c>
      <c r="C8" s="6"/>
      <c r="D8" s="6"/>
      <c r="E8" s="7" t="str">
        <f>service</f>
        <v>Rectangular Vessel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3" t="s">
        <v>400</v>
      </c>
      <c r="AA8" s="3"/>
      <c r="AB8" s="3"/>
      <c r="AC8" s="377" t="str">
        <f>date</f>
        <v>2018.  2.  10.</v>
      </c>
      <c r="AD8" s="377"/>
      <c r="AE8" s="377"/>
      <c r="AF8" s="377"/>
      <c r="AG8" s="377"/>
      <c r="AH8" s="3"/>
    </row>
    <row r="9" spans="1:33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6" t="s">
        <v>401</v>
      </c>
      <c r="AA9" s="3"/>
      <c r="AB9" s="3"/>
      <c r="AC9" s="377">
        <f>revno</f>
        <v>0</v>
      </c>
      <c r="AD9" s="377"/>
      <c r="AE9" s="377"/>
      <c r="AF9" s="377"/>
      <c r="AG9" s="377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/>
      <c r="C11" s="12" t="s">
        <v>402</v>
      </c>
      <c r="D11" s="31" t="s">
        <v>608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3"/>
      <c r="W12" s="3"/>
      <c r="X12" s="3"/>
      <c r="Y12" s="3"/>
      <c r="Z12" s="3"/>
      <c r="AA12" s="3"/>
      <c r="AB12" s="3"/>
      <c r="AC12" s="3"/>
    </row>
    <row r="13" spans="1:26" ht="9.75" customHeight="1">
      <c r="A13" s="6"/>
      <c r="B13" s="6"/>
      <c r="C13" s="6"/>
      <c r="D13" s="7" t="s">
        <v>403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  <c r="W13" s="3"/>
      <c r="X13" s="3"/>
      <c r="Y13" s="3"/>
      <c r="Z13" s="3"/>
    </row>
    <row r="14" spans="1:32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3"/>
      <c r="W14" s="3"/>
      <c r="X14" s="3"/>
      <c r="Y14" s="3"/>
      <c r="Z14" s="3"/>
      <c r="AA14" s="3"/>
      <c r="AB14" s="3"/>
      <c r="AC14" s="3"/>
      <c r="AD14" s="360" t="s">
        <v>404</v>
      </c>
      <c r="AE14" s="360"/>
      <c r="AF14" s="360"/>
    </row>
    <row r="15" spans="1:21" ht="9.75" customHeight="1">
      <c r="A15" s="1"/>
      <c r="B15" s="1"/>
      <c r="C15" s="1"/>
      <c r="D15" s="1"/>
      <c r="E15" s="27" t="s">
        <v>405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4" ht="9.75" customHeight="1">
      <c r="A16" s="1"/>
      <c r="B16" s="1"/>
      <c r="C16" s="1"/>
      <c r="D16" s="1"/>
      <c r="E16" s="1"/>
      <c r="F16" s="372" t="s">
        <v>241</v>
      </c>
      <c r="G16" s="372"/>
      <c r="H16" s="367" t="s">
        <v>406</v>
      </c>
      <c r="I16" s="275" t="s">
        <v>407</v>
      </c>
      <c r="J16" s="275"/>
      <c r="K16" s="369" t="s">
        <v>408</v>
      </c>
      <c r="L16" s="369">
        <v>3</v>
      </c>
      <c r="M16" s="368" t="s">
        <v>409</v>
      </c>
      <c r="N16" s="275" t="s">
        <v>410</v>
      </c>
      <c r="O16" s="275"/>
      <c r="P16" s="275"/>
      <c r="Q16" s="275"/>
      <c r="R16" s="369" t="s">
        <v>411</v>
      </c>
      <c r="S16" s="275">
        <v>1</v>
      </c>
      <c r="T16" s="275"/>
      <c r="U16" s="1"/>
      <c r="W16" s="381" t="s">
        <v>406</v>
      </c>
      <c r="X16" s="383">
        <f>I18*L18/I19/L19*(O18-(2+S18*(V18-X18^2))/(1+2*S19))/AB19</f>
        <v>-164.16773173075177</v>
      </c>
      <c r="Y16" s="383"/>
      <c r="Z16" s="383"/>
      <c r="AA16" s="412" t="str">
        <f>upsx(dpu)</f>
        <v>psi</v>
      </c>
      <c r="AB16" s="412"/>
      <c r="AC16" s="414" t="str">
        <f>IF(X16&lt;=AD16,"&lt;","&gt;")</f>
        <v>&lt;</v>
      </c>
      <c r="AD16" s="413">
        <f>mas</f>
        <v>18800</v>
      </c>
      <c r="AE16" s="413"/>
      <c r="AF16" s="413"/>
      <c r="AG16" s="411" t="str">
        <f>IF(ABS(X16)&lt;=ABS(AD16),"OK !","NO !")</f>
        <v>OK !</v>
      </c>
      <c r="AH16" s="411"/>
    </row>
    <row r="17" spans="1:34" ht="9.75" customHeight="1">
      <c r="A17" s="6"/>
      <c r="B17" s="6"/>
      <c r="C17" s="6"/>
      <c r="D17" s="6"/>
      <c r="E17" s="6"/>
      <c r="F17" s="372"/>
      <c r="G17" s="372"/>
      <c r="H17" s="367"/>
      <c r="I17" s="227" t="s">
        <v>412</v>
      </c>
      <c r="J17" s="227"/>
      <c r="K17" s="369"/>
      <c r="L17" s="369"/>
      <c r="M17" s="368"/>
      <c r="N17" s="227" t="s">
        <v>413</v>
      </c>
      <c r="O17" s="227"/>
      <c r="P17" s="227"/>
      <c r="Q17" s="227"/>
      <c r="R17" s="369"/>
      <c r="S17" s="227" t="s">
        <v>553</v>
      </c>
      <c r="T17" s="227"/>
      <c r="U17" s="6"/>
      <c r="V17" s="3"/>
      <c r="W17" s="381"/>
      <c r="X17" s="383"/>
      <c r="Y17" s="383"/>
      <c r="Z17" s="383"/>
      <c r="AA17" s="412"/>
      <c r="AB17" s="412"/>
      <c r="AC17" s="414"/>
      <c r="AD17" s="413"/>
      <c r="AE17" s="413"/>
      <c r="AF17" s="413"/>
      <c r="AG17" s="411"/>
      <c r="AH17" s="411"/>
    </row>
    <row r="18" spans="1:30" ht="9.75" customHeight="1">
      <c r="A18" s="1"/>
      <c r="B18" s="1"/>
      <c r="C18" s="1"/>
      <c r="D18" s="1"/>
      <c r="E18" s="1"/>
      <c r="F18" s="1"/>
      <c r="G18" s="1"/>
      <c r="H18" s="367" t="s">
        <v>406</v>
      </c>
      <c r="I18" s="275">
        <f>dpress</f>
        <v>-115</v>
      </c>
      <c r="J18" s="275"/>
      <c r="K18" s="21" t="s">
        <v>414</v>
      </c>
      <c r="L18" s="273">
        <f>sph4</f>
        <v>105.83333333333333</v>
      </c>
      <c r="M18" s="273"/>
      <c r="N18" s="369" t="s">
        <v>408</v>
      </c>
      <c r="O18" s="369">
        <f>L16</f>
        <v>3</v>
      </c>
      <c r="P18" s="368" t="s">
        <v>409</v>
      </c>
      <c r="Q18" s="8" t="s">
        <v>415</v>
      </c>
      <c r="S18" s="361">
        <f>kei</f>
        <v>1.820444444444444</v>
      </c>
      <c r="T18" s="361"/>
      <c r="U18" s="8" t="s">
        <v>416</v>
      </c>
      <c r="V18" s="8">
        <v>5</v>
      </c>
      <c r="W18" s="8" t="s">
        <v>417</v>
      </c>
      <c r="X18" s="361">
        <f>alpha</f>
        <v>0.4444444444444444</v>
      </c>
      <c r="Y18" s="361"/>
      <c r="Z18" s="8" t="s">
        <v>418</v>
      </c>
      <c r="AA18" s="369" t="s">
        <v>411</v>
      </c>
      <c r="AB18" s="275">
        <v>1</v>
      </c>
      <c r="AC18" s="275"/>
      <c r="AD18" s="54"/>
    </row>
    <row r="19" spans="1:30" ht="9.75" customHeight="1">
      <c r="A19" s="6"/>
      <c r="B19" s="6"/>
      <c r="C19" s="6"/>
      <c r="D19" s="6"/>
      <c r="E19" s="6"/>
      <c r="F19" s="1"/>
      <c r="G19" s="1"/>
      <c r="H19" s="367"/>
      <c r="I19" s="227">
        <v>4</v>
      </c>
      <c r="J19" s="227"/>
      <c r="K19" s="22" t="s">
        <v>414</v>
      </c>
      <c r="L19" s="227">
        <f>st1</f>
        <v>15.875</v>
      </c>
      <c r="M19" s="227"/>
      <c r="N19" s="369"/>
      <c r="O19" s="369"/>
      <c r="P19" s="368"/>
      <c r="Q19" s="23" t="s">
        <v>419</v>
      </c>
      <c r="R19" s="22" t="s">
        <v>420</v>
      </c>
      <c r="S19" s="260">
        <f>S18</f>
        <v>1.820444444444444</v>
      </c>
      <c r="T19" s="227"/>
      <c r="U19" s="23"/>
      <c r="V19" s="23"/>
      <c r="W19" s="23"/>
      <c r="X19" s="23"/>
      <c r="Y19" s="10"/>
      <c r="Z19" s="10"/>
      <c r="AA19" s="369"/>
      <c r="AB19" s="227">
        <f>jen</f>
        <v>0.8</v>
      </c>
      <c r="AC19" s="227"/>
      <c r="AD19" s="54"/>
    </row>
    <row r="20" spans="1:29" ht="9.75" customHeight="1">
      <c r="A20" s="6"/>
      <c r="B20" s="6"/>
      <c r="C20" s="6"/>
      <c r="D20" s="6"/>
      <c r="E20" s="6"/>
      <c r="F20" s="6"/>
      <c r="G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3"/>
      <c r="W20" s="3"/>
      <c r="X20" s="3"/>
      <c r="Y20" s="3"/>
      <c r="Z20" s="3"/>
      <c r="AA20" s="3"/>
      <c r="AB20" s="3"/>
      <c r="AC20" s="3"/>
    </row>
    <row r="21" spans="1:29" ht="9.75" customHeight="1">
      <c r="A21" s="1"/>
      <c r="B21" s="1"/>
      <c r="C21" s="1"/>
      <c r="D21" s="1"/>
      <c r="E21" s="27" t="s">
        <v>421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AC21" s="3"/>
    </row>
    <row r="22" spans="1:34" ht="9.75" customHeight="1">
      <c r="A22" s="6"/>
      <c r="B22" s="6"/>
      <c r="C22" s="6"/>
      <c r="D22" s="6"/>
      <c r="E22" s="6"/>
      <c r="F22" s="27" t="s">
        <v>244</v>
      </c>
      <c r="G22" s="1"/>
      <c r="H22" s="1" t="s">
        <v>406</v>
      </c>
      <c r="I22" s="1" t="s">
        <v>549</v>
      </c>
      <c r="J22" s="1"/>
      <c r="K22" s="1"/>
      <c r="L22" s="1" t="s">
        <v>406</v>
      </c>
      <c r="M22" s="275">
        <f>dpress</f>
        <v>-115</v>
      </c>
      <c r="N22" s="275"/>
      <c r="O22" s="21" t="s">
        <v>414</v>
      </c>
      <c r="P22" s="273">
        <f>sh</f>
        <v>152.39999999999998</v>
      </c>
      <c r="Q22" s="273"/>
      <c r="R22" s="121" t="s">
        <v>550</v>
      </c>
      <c r="S22" s="275">
        <f>lt2</f>
        <v>25.4</v>
      </c>
      <c r="T22" s="275"/>
      <c r="U22" s="8" t="s">
        <v>466</v>
      </c>
      <c r="V22" s="304">
        <f>jem</f>
        <v>0.6</v>
      </c>
      <c r="W22" s="304"/>
      <c r="X22" s="8" t="s">
        <v>406</v>
      </c>
      <c r="Y22" s="366">
        <f>M22*P22/2/S22/V22</f>
        <v>-574.9999999999999</v>
      </c>
      <c r="Z22" s="366"/>
      <c r="AA22" s="366"/>
      <c r="AB22" s="2" t="str">
        <f>upsx(dpu)</f>
        <v>psi</v>
      </c>
      <c r="AC22" s="26" t="str">
        <f>IF(Y22&lt;=AD22,"&lt;","&gt;")</f>
        <v>&lt;</v>
      </c>
      <c r="AD22" s="365">
        <f>mas</f>
        <v>18800</v>
      </c>
      <c r="AE22" s="365"/>
      <c r="AF22" s="365"/>
      <c r="AG22" s="364" t="str">
        <f>IF(ABS(Y22)&lt;=ABS(AD22),"OK !","NO !")</f>
        <v>OK !</v>
      </c>
      <c r="AH22" s="364"/>
    </row>
    <row r="23" spans="1:29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AC23" s="3"/>
    </row>
    <row r="24" spans="1:29" ht="9.75" customHeight="1">
      <c r="A24" s="6"/>
      <c r="B24" s="6"/>
      <c r="C24" s="6"/>
      <c r="D24" s="6"/>
      <c r="E24" s="27" t="s">
        <v>422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3"/>
      <c r="W24" s="3"/>
      <c r="X24" s="3"/>
      <c r="Y24" s="3"/>
      <c r="Z24" s="3"/>
      <c r="AA24" s="3"/>
      <c r="AB24" s="3"/>
      <c r="AC24" s="3"/>
    </row>
    <row r="25" spans="1:34" ht="9.75" customHeight="1">
      <c r="A25" s="1"/>
      <c r="B25" s="1"/>
      <c r="C25" s="1"/>
      <c r="D25" s="1"/>
      <c r="E25" s="1"/>
      <c r="F25" s="372" t="s">
        <v>423</v>
      </c>
      <c r="G25" s="372"/>
      <c r="H25" s="367" t="s">
        <v>406</v>
      </c>
      <c r="I25" s="373" t="s">
        <v>407</v>
      </c>
      <c r="J25" s="373"/>
      <c r="K25" s="369" t="s">
        <v>424</v>
      </c>
      <c r="L25" s="275" t="s">
        <v>153</v>
      </c>
      <c r="M25" s="275"/>
      <c r="N25" s="275"/>
      <c r="O25" s="275"/>
      <c r="P25" s="369" t="s">
        <v>425</v>
      </c>
      <c r="W25" s="381" t="s">
        <v>406</v>
      </c>
      <c r="X25" s="383">
        <f>I27*L27/I28/L28*(6+S27*(V27-X27^2))/(3+5*S28)</f>
        <v>-1016.1731946579132</v>
      </c>
      <c r="Y25" s="383"/>
      <c r="Z25" s="383"/>
      <c r="AA25" s="412" t="str">
        <f>upsx(dpu)</f>
        <v>psi</v>
      </c>
      <c r="AB25" s="412"/>
      <c r="AC25" s="414" t="str">
        <f>IF(X25&lt;=AD25,"&lt;","&gt;")</f>
        <v>&lt;</v>
      </c>
      <c r="AD25" s="413">
        <f>spmas</f>
        <v>18800</v>
      </c>
      <c r="AE25" s="413"/>
      <c r="AF25" s="413"/>
      <c r="AG25" s="411" t="str">
        <f>IF(ABS(X25)&lt;=ABS(AD25),"OK !","NO !")</f>
        <v>OK !</v>
      </c>
      <c r="AH25" s="411"/>
    </row>
    <row r="26" spans="1:34" ht="9.75" customHeight="1">
      <c r="A26" s="6"/>
      <c r="B26" s="6"/>
      <c r="C26" s="6"/>
      <c r="D26" s="6"/>
      <c r="E26" s="6"/>
      <c r="F26" s="372"/>
      <c r="G26" s="372"/>
      <c r="H26" s="367"/>
      <c r="I26" s="227" t="s">
        <v>458</v>
      </c>
      <c r="J26" s="227"/>
      <c r="K26" s="369"/>
      <c r="L26" s="227" t="s">
        <v>459</v>
      </c>
      <c r="M26" s="227"/>
      <c r="N26" s="227"/>
      <c r="O26" s="227"/>
      <c r="P26" s="369"/>
      <c r="W26" s="381"/>
      <c r="X26" s="383"/>
      <c r="Y26" s="383"/>
      <c r="Z26" s="383"/>
      <c r="AA26" s="412"/>
      <c r="AB26" s="412"/>
      <c r="AC26" s="414"/>
      <c r="AD26" s="413"/>
      <c r="AE26" s="413"/>
      <c r="AF26" s="413"/>
      <c r="AG26" s="411"/>
      <c r="AH26" s="411"/>
    </row>
    <row r="27" spans="1:27" ht="9.75" customHeight="1">
      <c r="A27" s="1"/>
      <c r="B27" s="1"/>
      <c r="C27" s="1"/>
      <c r="D27" s="1"/>
      <c r="E27" s="1"/>
      <c r="F27" s="1"/>
      <c r="G27" s="1"/>
      <c r="H27" s="367" t="s">
        <v>406</v>
      </c>
      <c r="I27" s="275">
        <f>dpress</f>
        <v>-115</v>
      </c>
      <c r="J27" s="275"/>
      <c r="K27" s="21" t="s">
        <v>414</v>
      </c>
      <c r="L27" s="273">
        <f>sph4</f>
        <v>105.83333333333333</v>
      </c>
      <c r="M27" s="273"/>
      <c r="P27" s="369" t="s">
        <v>424</v>
      </c>
      <c r="Q27" s="8" t="s">
        <v>460</v>
      </c>
      <c r="S27" s="361">
        <f>kei</f>
        <v>1.820444444444444</v>
      </c>
      <c r="T27" s="361"/>
      <c r="U27" s="8" t="s">
        <v>416</v>
      </c>
      <c r="V27" s="8">
        <v>11</v>
      </c>
      <c r="W27" s="8" t="s">
        <v>417</v>
      </c>
      <c r="X27" s="361">
        <f>alpha</f>
        <v>0.4444444444444444</v>
      </c>
      <c r="Y27" s="361"/>
      <c r="Z27" s="8" t="s">
        <v>418</v>
      </c>
      <c r="AA27" s="369" t="s">
        <v>425</v>
      </c>
    </row>
    <row r="28" spans="1:27" ht="9.75" customHeight="1">
      <c r="A28" s="1"/>
      <c r="B28" s="1"/>
      <c r="C28" s="1"/>
      <c r="D28" s="1"/>
      <c r="E28" s="1"/>
      <c r="F28" s="1"/>
      <c r="G28" s="1"/>
      <c r="H28" s="367"/>
      <c r="I28" s="227">
        <v>2</v>
      </c>
      <c r="J28" s="227"/>
      <c r="K28" s="22" t="s">
        <v>414</v>
      </c>
      <c r="L28" s="227">
        <f>spt4</f>
        <v>12.7</v>
      </c>
      <c r="M28" s="227"/>
      <c r="P28" s="369"/>
      <c r="Q28" s="23" t="s">
        <v>461</v>
      </c>
      <c r="R28" s="22" t="s">
        <v>265</v>
      </c>
      <c r="S28" s="260">
        <f>S27</f>
        <v>1.820444444444444</v>
      </c>
      <c r="T28" s="227"/>
      <c r="U28" s="23"/>
      <c r="V28" s="23"/>
      <c r="W28" s="23"/>
      <c r="X28" s="23"/>
      <c r="Y28" s="10"/>
      <c r="Z28" s="10"/>
      <c r="AA28" s="369"/>
    </row>
    <row r="29" spans="1:29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AC29" s="3"/>
    </row>
    <row r="30" spans="1:28" ht="9.75" customHeight="1">
      <c r="A30" s="6"/>
      <c r="B30" s="6"/>
      <c r="C30" s="6"/>
      <c r="D30" s="7" t="s">
        <v>426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</row>
    <row r="31" spans="1:29" ht="9.75" customHeight="1">
      <c r="A31" s="1"/>
      <c r="B31" s="1"/>
      <c r="C31" s="1"/>
      <c r="D31" s="6"/>
      <c r="E31" s="6"/>
      <c r="F31" s="6"/>
      <c r="G31" s="6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C31" s="3"/>
    </row>
    <row r="32" spans="1:29" ht="9.75" customHeight="1">
      <c r="A32" s="6"/>
      <c r="B32" s="6"/>
      <c r="C32" s="6"/>
      <c r="D32" s="1"/>
      <c r="E32" s="9" t="str">
        <f>E15</f>
        <v>Short Side Plate</v>
      </c>
      <c r="F32" s="1"/>
      <c r="G32" s="1"/>
      <c r="H32" s="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  <c r="AC32" s="3"/>
    </row>
    <row r="33" spans="1:34" ht="9.75" customHeight="1">
      <c r="A33" s="1"/>
      <c r="B33" s="1"/>
      <c r="C33" s="1"/>
      <c r="D33" s="1"/>
      <c r="E33" s="1"/>
      <c r="F33" s="372" t="s">
        <v>427</v>
      </c>
      <c r="G33" s="372"/>
      <c r="H33" s="367" t="s">
        <v>406</v>
      </c>
      <c r="I33" s="275" t="s">
        <v>428</v>
      </c>
      <c r="J33" s="275"/>
      <c r="K33" s="369" t="s">
        <v>424</v>
      </c>
      <c r="L33" s="368" t="s">
        <v>249</v>
      </c>
      <c r="M33" s="368"/>
      <c r="N33" s="368"/>
      <c r="O33" s="368"/>
      <c r="P33" s="275" t="s">
        <v>155</v>
      </c>
      <c r="Q33" s="275"/>
      <c r="R33" s="275"/>
      <c r="S33" s="369" t="s">
        <v>430</v>
      </c>
      <c r="T33" s="275">
        <v>1</v>
      </c>
      <c r="U33" s="275"/>
      <c r="AA33" s="42" t="s">
        <v>431</v>
      </c>
      <c r="AC33" s="55" t="s">
        <v>406</v>
      </c>
      <c r="AD33" s="383">
        <f>I35*L35/I36/L36*(-3*Q35^2+2*V35^2*(3+5*AA35^2*AD35)/(3+5*AD36))/AG36</f>
        <v>-8669.550933041552</v>
      </c>
      <c r="AE33" s="383"/>
      <c r="AF33" s="383"/>
      <c r="AG33" s="54" t="str">
        <f>AA16</f>
        <v>psi</v>
      </c>
      <c r="AH33" s="54"/>
    </row>
    <row r="34" spans="1:34" ht="9.75" customHeight="1">
      <c r="A34" s="6"/>
      <c r="B34" s="6"/>
      <c r="C34" s="6"/>
      <c r="D34" s="1"/>
      <c r="E34" s="1"/>
      <c r="F34" s="372"/>
      <c r="G34" s="372"/>
      <c r="H34" s="367"/>
      <c r="I34" s="227" t="s">
        <v>432</v>
      </c>
      <c r="J34" s="227"/>
      <c r="K34" s="369"/>
      <c r="L34" s="368"/>
      <c r="M34" s="368"/>
      <c r="N34" s="368"/>
      <c r="O34" s="368"/>
      <c r="P34" s="227" t="s">
        <v>459</v>
      </c>
      <c r="Q34" s="227"/>
      <c r="R34" s="227"/>
      <c r="S34" s="369"/>
      <c r="T34" s="227" t="s">
        <v>553</v>
      </c>
      <c r="U34" s="227"/>
      <c r="AA34" s="42" t="s">
        <v>433</v>
      </c>
      <c r="AC34" s="55" t="s">
        <v>406</v>
      </c>
      <c r="AD34" s="383">
        <f>I35*(-L35)/I36/L36*(-3*Q35^2+2*V35^2*(3+5*AA35^2*AD35)/(3+5*AD36))/AG36</f>
        <v>8669.550933041552</v>
      </c>
      <c r="AE34" s="383"/>
      <c r="AF34" s="383"/>
      <c r="AG34" s="54" t="str">
        <f>AG33</f>
        <v>psi</v>
      </c>
      <c r="AH34" s="54"/>
    </row>
    <row r="35" spans="1:34" ht="9.75" customHeight="1">
      <c r="A35" s="1"/>
      <c r="B35" s="1"/>
      <c r="C35" s="1"/>
      <c r="D35" s="1"/>
      <c r="E35" s="1"/>
      <c r="F35" s="1"/>
      <c r="G35" s="1"/>
      <c r="H35" s="367" t="s">
        <v>406</v>
      </c>
      <c r="I35" s="275">
        <f>I18</f>
        <v>-115</v>
      </c>
      <c r="J35" s="275"/>
      <c r="K35" s="21" t="s">
        <v>414</v>
      </c>
      <c r="L35" s="370">
        <f>sco1</f>
        <v>-7.9375</v>
      </c>
      <c r="M35" s="370"/>
      <c r="N35" s="369" t="s">
        <v>424</v>
      </c>
      <c r="O35" s="368" t="s">
        <v>248</v>
      </c>
      <c r="P35" s="368"/>
      <c r="Q35" s="407">
        <f>P22</f>
        <v>152.39999999999998</v>
      </c>
      <c r="R35" s="369"/>
      <c r="S35" s="367" t="s">
        <v>434</v>
      </c>
      <c r="T35" s="368" t="s">
        <v>435</v>
      </c>
      <c r="U35" s="368"/>
      <c r="V35" s="407">
        <f>L18</f>
        <v>105.83333333333333</v>
      </c>
      <c r="W35" s="369"/>
      <c r="X35" s="367" t="s">
        <v>436</v>
      </c>
      <c r="Y35" s="2" t="s">
        <v>461</v>
      </c>
      <c r="Z35" s="8" t="s">
        <v>462</v>
      </c>
      <c r="AA35" s="361">
        <f>X18</f>
        <v>0.4444444444444444</v>
      </c>
      <c r="AB35" s="361"/>
      <c r="AC35" s="33" t="s">
        <v>438</v>
      </c>
      <c r="AD35" s="361">
        <f>S18</f>
        <v>1.820444444444444</v>
      </c>
      <c r="AE35" s="361"/>
      <c r="AF35" s="369" t="s">
        <v>58</v>
      </c>
      <c r="AG35" s="275">
        <v>1</v>
      </c>
      <c r="AH35" s="275"/>
    </row>
    <row r="36" spans="1:34" ht="9.75" customHeight="1">
      <c r="A36" s="1"/>
      <c r="B36" s="1"/>
      <c r="C36" s="1"/>
      <c r="D36" s="6"/>
      <c r="E36" s="6"/>
      <c r="F36" s="6"/>
      <c r="G36" s="6"/>
      <c r="H36" s="367"/>
      <c r="I36" s="227">
        <v>24</v>
      </c>
      <c r="J36" s="227"/>
      <c r="K36" s="22" t="s">
        <v>414</v>
      </c>
      <c r="L36" s="371">
        <f>si1</f>
        <v>333.3956705729167</v>
      </c>
      <c r="M36" s="371"/>
      <c r="N36" s="369"/>
      <c r="O36" s="368"/>
      <c r="P36" s="368"/>
      <c r="Q36" s="369"/>
      <c r="R36" s="369"/>
      <c r="S36" s="367"/>
      <c r="T36" s="368"/>
      <c r="U36" s="368"/>
      <c r="V36" s="369"/>
      <c r="W36" s="369"/>
      <c r="X36" s="367"/>
      <c r="Y36" s="23" t="s">
        <v>461</v>
      </c>
      <c r="Z36" s="10"/>
      <c r="AA36" s="23"/>
      <c r="AB36" s="23"/>
      <c r="AC36" s="22" t="s">
        <v>265</v>
      </c>
      <c r="AD36" s="260">
        <f>AD35</f>
        <v>1.820444444444444</v>
      </c>
      <c r="AE36" s="260"/>
      <c r="AF36" s="369"/>
      <c r="AG36" s="227">
        <f>jen</f>
        <v>0.8</v>
      </c>
      <c r="AH36" s="227"/>
    </row>
    <row r="37" spans="1:29" ht="9.75" customHeight="1">
      <c r="A37" s="1"/>
      <c r="B37" s="1"/>
      <c r="C37" s="1"/>
      <c r="D37" s="6"/>
      <c r="E37" s="6"/>
      <c r="F37" s="6"/>
      <c r="G37" s="6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C37" s="3"/>
    </row>
    <row r="38" spans="1:28" ht="9.75" customHeight="1">
      <c r="A38" s="6"/>
      <c r="B38" s="6"/>
      <c r="C38" s="6"/>
      <c r="D38" s="6"/>
      <c r="E38" s="1"/>
      <c r="F38" s="372" t="s">
        <v>439</v>
      </c>
      <c r="G38" s="372"/>
      <c r="H38" s="367" t="s">
        <v>406</v>
      </c>
      <c r="I38" s="373" t="s">
        <v>440</v>
      </c>
      <c r="J38" s="373"/>
      <c r="K38" s="369" t="s">
        <v>441</v>
      </c>
      <c r="L38" s="275" t="s">
        <v>155</v>
      </c>
      <c r="M38" s="275"/>
      <c r="N38" s="275"/>
      <c r="O38" s="369" t="s">
        <v>442</v>
      </c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</row>
    <row r="39" spans="1:28" ht="9.75" customHeight="1">
      <c r="A39" s="1"/>
      <c r="B39" s="1"/>
      <c r="C39" s="1"/>
      <c r="D39" s="6"/>
      <c r="E39" s="6"/>
      <c r="F39" s="372"/>
      <c r="G39" s="372"/>
      <c r="H39" s="367"/>
      <c r="I39" s="227" t="s">
        <v>443</v>
      </c>
      <c r="J39" s="227"/>
      <c r="K39" s="369"/>
      <c r="L39" s="227" t="s">
        <v>459</v>
      </c>
      <c r="M39" s="227"/>
      <c r="N39" s="227"/>
      <c r="O39" s="369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</row>
    <row r="40" spans="1:34" ht="9.75" customHeight="1">
      <c r="A40" s="6"/>
      <c r="B40" s="6"/>
      <c r="C40" s="6"/>
      <c r="D40" s="1"/>
      <c r="E40" s="1"/>
      <c r="F40" s="1"/>
      <c r="G40" s="1"/>
      <c r="H40" s="367" t="s">
        <v>406</v>
      </c>
      <c r="I40" s="275">
        <f>I35</f>
        <v>-115</v>
      </c>
      <c r="J40" s="275"/>
      <c r="K40" s="1" t="s">
        <v>414</v>
      </c>
      <c r="L40" s="273">
        <f>V35</f>
        <v>105.83333333333333</v>
      </c>
      <c r="M40" s="275"/>
      <c r="N40" s="34" t="s">
        <v>438</v>
      </c>
      <c r="O40" s="370">
        <f>L35</f>
        <v>-7.9375</v>
      </c>
      <c r="P40" s="370"/>
      <c r="Q40" s="369" t="s">
        <v>441</v>
      </c>
      <c r="R40" s="2" t="s">
        <v>461</v>
      </c>
      <c r="S40" s="8" t="s">
        <v>462</v>
      </c>
      <c r="T40" s="361">
        <f>AA35</f>
        <v>0.4444444444444444</v>
      </c>
      <c r="U40" s="361"/>
      <c r="V40" s="33" t="s">
        <v>438</v>
      </c>
      <c r="W40" s="361">
        <f>AD35</f>
        <v>1.820444444444444</v>
      </c>
      <c r="X40" s="361"/>
      <c r="Y40" s="369" t="s">
        <v>442</v>
      </c>
      <c r="AA40" s="42" t="s">
        <v>431</v>
      </c>
      <c r="AC40" s="55" t="s">
        <v>406</v>
      </c>
      <c r="AD40" s="383">
        <f>I40*L40^2*O40/I41/L41*(3+5*T40^2*W40)/(3+5*W41)</f>
        <v>1013.1592535667562</v>
      </c>
      <c r="AE40" s="383"/>
      <c r="AF40" s="383"/>
      <c r="AG40" s="54" t="str">
        <f>AG33</f>
        <v>psi</v>
      </c>
      <c r="AH40" s="54"/>
    </row>
    <row r="41" spans="1:34" ht="9.75" customHeight="1">
      <c r="A41" s="6"/>
      <c r="B41" s="6"/>
      <c r="C41" s="6"/>
      <c r="D41" s="6"/>
      <c r="E41" s="6"/>
      <c r="F41" s="6"/>
      <c r="G41" s="6"/>
      <c r="H41" s="367"/>
      <c r="I41" s="227">
        <v>12</v>
      </c>
      <c r="J41" s="227"/>
      <c r="K41" s="23" t="s">
        <v>414</v>
      </c>
      <c r="L41" s="371">
        <f>L36</f>
        <v>333.3956705729167</v>
      </c>
      <c r="M41" s="227"/>
      <c r="N41" s="23"/>
      <c r="O41" s="23"/>
      <c r="P41" s="23"/>
      <c r="Q41" s="369"/>
      <c r="R41" s="23" t="s">
        <v>461</v>
      </c>
      <c r="S41" s="10"/>
      <c r="T41" s="23"/>
      <c r="U41" s="23"/>
      <c r="V41" s="22" t="s">
        <v>265</v>
      </c>
      <c r="W41" s="260">
        <f>W40</f>
        <v>1.820444444444444</v>
      </c>
      <c r="X41" s="260"/>
      <c r="Y41" s="369"/>
      <c r="AA41" s="42" t="s">
        <v>433</v>
      </c>
      <c r="AC41" s="55" t="s">
        <v>406</v>
      </c>
      <c r="AD41" s="383">
        <f>I40*L40^2*(-O40)/I41/L41*(3+5*T40^2*W40)/(3+5*W41)</f>
        <v>-1013.1592535667562</v>
      </c>
      <c r="AE41" s="383"/>
      <c r="AF41" s="383"/>
      <c r="AG41" s="54" t="str">
        <f>AG40</f>
        <v>psi</v>
      </c>
      <c r="AH41" s="54"/>
    </row>
    <row r="42" spans="1:29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AC42" s="3"/>
    </row>
    <row r="43" spans="1:29" ht="9.75" customHeight="1">
      <c r="A43" s="6"/>
      <c r="B43" s="6"/>
      <c r="C43" s="6"/>
      <c r="D43" s="1"/>
      <c r="E43" s="9" t="str">
        <f>E21</f>
        <v>Long Side Plate</v>
      </c>
      <c r="F43" s="1"/>
      <c r="G43" s="1"/>
      <c r="H43" s="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3"/>
      <c r="W43" s="3"/>
      <c r="X43" s="3"/>
      <c r="Y43" s="3"/>
      <c r="Z43" s="3"/>
      <c r="AA43" s="3"/>
      <c r="AB43" s="3"/>
      <c r="AC43" s="3"/>
    </row>
    <row r="44" spans="1:33" ht="9.75" customHeight="1">
      <c r="A44" s="1"/>
      <c r="B44" s="1"/>
      <c r="C44" s="1"/>
      <c r="D44" s="1"/>
      <c r="E44" s="1"/>
      <c r="F44" s="372" t="s">
        <v>444</v>
      </c>
      <c r="G44" s="372"/>
      <c r="H44" s="367" t="s">
        <v>406</v>
      </c>
      <c r="I44" s="373" t="s">
        <v>440</v>
      </c>
      <c r="J44" s="373"/>
      <c r="K44" s="369" t="s">
        <v>424</v>
      </c>
      <c r="L44" s="275" t="s">
        <v>463</v>
      </c>
      <c r="M44" s="275"/>
      <c r="N44" s="275"/>
      <c r="O44" s="275"/>
      <c r="P44" s="369" t="s">
        <v>425</v>
      </c>
      <c r="Q44" s="275">
        <v>1</v>
      </c>
      <c r="R44" s="275"/>
      <c r="S44" s="1"/>
      <c r="T44" s="1"/>
      <c r="U44" s="1"/>
      <c r="AA44" s="42" t="s">
        <v>431</v>
      </c>
      <c r="AC44" s="55" t="s">
        <v>406</v>
      </c>
      <c r="AD44" s="383">
        <f>I46*L46^2*O46/I47/L47*(3+T46*(6-X46^2))/(3+5*T47)/AB47</f>
        <v>1864.6059999696067</v>
      </c>
      <c r="AE44" s="383"/>
      <c r="AF44" s="383"/>
      <c r="AG44" s="54" t="str">
        <f>AB22</f>
        <v>psi</v>
      </c>
    </row>
    <row r="45" spans="1:33" ht="9.75" customHeight="1">
      <c r="A45" s="6"/>
      <c r="B45" s="6"/>
      <c r="C45" s="6"/>
      <c r="D45" s="1"/>
      <c r="E45" s="1"/>
      <c r="F45" s="372"/>
      <c r="G45" s="372"/>
      <c r="H45" s="367"/>
      <c r="I45" s="227" t="s">
        <v>446</v>
      </c>
      <c r="J45" s="227"/>
      <c r="K45" s="369"/>
      <c r="L45" s="227" t="s">
        <v>459</v>
      </c>
      <c r="M45" s="227"/>
      <c r="N45" s="227"/>
      <c r="O45" s="227"/>
      <c r="P45" s="369"/>
      <c r="Q45" s="227" t="s">
        <v>547</v>
      </c>
      <c r="R45" s="227"/>
      <c r="S45" s="6"/>
      <c r="T45" s="6"/>
      <c r="U45" s="6"/>
      <c r="V45" s="3"/>
      <c r="W45" s="3"/>
      <c r="X45" s="3"/>
      <c r="Y45" s="3"/>
      <c r="Z45" s="3"/>
      <c r="AA45" s="42" t="s">
        <v>433</v>
      </c>
      <c r="AC45" s="55" t="s">
        <v>406</v>
      </c>
      <c r="AD45" s="383">
        <f>I46*L46^2*(-O46)/I47/L47*(3+T46*(6-X46^2))/(3+5*T47)/AB47</f>
        <v>-1864.6059999696067</v>
      </c>
      <c r="AE45" s="383"/>
      <c r="AF45" s="383"/>
      <c r="AG45" s="54" t="str">
        <f>AG44</f>
        <v>psi</v>
      </c>
    </row>
    <row r="46" spans="1:34" ht="9.75" customHeight="1">
      <c r="A46" s="1"/>
      <c r="B46" s="1"/>
      <c r="C46" s="1"/>
      <c r="D46" s="1"/>
      <c r="E46" s="1"/>
      <c r="F46" s="1"/>
      <c r="G46" s="1"/>
      <c r="H46" s="367" t="s">
        <v>406</v>
      </c>
      <c r="I46" s="275">
        <f>M22</f>
        <v>-115</v>
      </c>
      <c r="J46" s="275"/>
      <c r="K46" s="1" t="s">
        <v>414</v>
      </c>
      <c r="L46" s="273">
        <f>L18</f>
        <v>105.83333333333333</v>
      </c>
      <c r="M46" s="275"/>
      <c r="N46" s="34" t="s">
        <v>438</v>
      </c>
      <c r="O46" s="370">
        <f>lco2</f>
        <v>-12.7</v>
      </c>
      <c r="P46" s="370"/>
      <c r="Q46" s="369" t="s">
        <v>424</v>
      </c>
      <c r="R46" s="1" t="s">
        <v>461</v>
      </c>
      <c r="S46" s="3"/>
      <c r="T46" s="274">
        <f>kei</f>
        <v>1.820444444444444</v>
      </c>
      <c r="U46" s="274"/>
      <c r="V46" s="21" t="s">
        <v>416</v>
      </c>
      <c r="W46" s="8" t="s">
        <v>464</v>
      </c>
      <c r="X46" s="361">
        <f>alpha</f>
        <v>0.4444444444444444</v>
      </c>
      <c r="Y46" s="361"/>
      <c r="Z46" s="2" t="s">
        <v>418</v>
      </c>
      <c r="AA46" s="369" t="s">
        <v>425</v>
      </c>
      <c r="AB46" s="275">
        <v>1</v>
      </c>
      <c r="AC46" s="275"/>
      <c r="AD46" s="54"/>
      <c r="AH46" s="54"/>
    </row>
    <row r="47" spans="1:34" ht="9.75" customHeight="1">
      <c r="A47" s="1"/>
      <c r="B47" s="1"/>
      <c r="C47" s="1"/>
      <c r="D47" s="6"/>
      <c r="E47" s="6"/>
      <c r="F47" s="6"/>
      <c r="G47" s="6"/>
      <c r="H47" s="367"/>
      <c r="I47" s="227">
        <v>12</v>
      </c>
      <c r="J47" s="227"/>
      <c r="K47" s="23" t="s">
        <v>414</v>
      </c>
      <c r="L47" s="371">
        <f>li2</f>
        <v>1365.5886666666665</v>
      </c>
      <c r="M47" s="227"/>
      <c r="N47" s="23"/>
      <c r="O47" s="23"/>
      <c r="P47" s="23"/>
      <c r="Q47" s="369"/>
      <c r="R47" s="10" t="s">
        <v>461</v>
      </c>
      <c r="S47" s="22" t="s">
        <v>265</v>
      </c>
      <c r="T47" s="260">
        <f>T46</f>
        <v>1.820444444444444</v>
      </c>
      <c r="U47" s="227"/>
      <c r="V47" s="10"/>
      <c r="W47" s="10"/>
      <c r="X47" s="10"/>
      <c r="Y47" s="10"/>
      <c r="Z47" s="10"/>
      <c r="AA47" s="369"/>
      <c r="AB47" s="227">
        <f>jem</f>
        <v>0.6</v>
      </c>
      <c r="AC47" s="227"/>
      <c r="AD47" s="54"/>
      <c r="AH47" s="54"/>
    </row>
    <row r="48" spans="1:29" ht="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AC48" s="3"/>
    </row>
    <row r="49" spans="1:28" ht="9.75" customHeight="1">
      <c r="A49" s="6"/>
      <c r="B49" s="6"/>
      <c r="C49" s="6"/>
      <c r="D49" s="6"/>
      <c r="E49" s="6"/>
      <c r="F49" s="372" t="s">
        <v>448</v>
      </c>
      <c r="G49" s="372"/>
      <c r="H49" s="367" t="s">
        <v>406</v>
      </c>
      <c r="I49" s="373" t="s">
        <v>440</v>
      </c>
      <c r="J49" s="373"/>
      <c r="K49" s="369" t="s">
        <v>441</v>
      </c>
      <c r="L49" s="275" t="s">
        <v>155</v>
      </c>
      <c r="M49" s="275"/>
      <c r="N49" s="275"/>
      <c r="O49" s="369" t="s">
        <v>442</v>
      </c>
      <c r="P49" s="6"/>
      <c r="Q49" s="6"/>
      <c r="R49" s="6"/>
      <c r="S49" s="6"/>
      <c r="T49" s="6"/>
      <c r="U49" s="6"/>
      <c r="V49" s="3"/>
      <c r="W49" s="3"/>
      <c r="X49" s="3"/>
      <c r="Y49" s="3"/>
      <c r="Z49" s="3"/>
      <c r="AA49" s="3"/>
      <c r="AB49" s="3"/>
    </row>
    <row r="50" spans="1:28" ht="9.75" customHeight="1">
      <c r="A50" s="1"/>
      <c r="B50" s="1"/>
      <c r="C50" s="1"/>
      <c r="D50" s="6"/>
      <c r="E50" s="6"/>
      <c r="F50" s="372"/>
      <c r="G50" s="372"/>
      <c r="H50" s="367"/>
      <c r="I50" s="227" t="s">
        <v>446</v>
      </c>
      <c r="J50" s="227"/>
      <c r="K50" s="369"/>
      <c r="L50" s="227" t="s">
        <v>459</v>
      </c>
      <c r="M50" s="227"/>
      <c r="N50" s="227"/>
      <c r="O50" s="369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</row>
    <row r="51" spans="1:34" ht="9.75" customHeight="1">
      <c r="A51" s="6"/>
      <c r="B51" s="6"/>
      <c r="C51" s="6"/>
      <c r="D51" s="1"/>
      <c r="E51" s="1"/>
      <c r="F51" s="1"/>
      <c r="G51" s="1"/>
      <c r="H51" s="367" t="s">
        <v>406</v>
      </c>
      <c r="I51" s="275">
        <f>I46</f>
        <v>-115</v>
      </c>
      <c r="J51" s="275"/>
      <c r="K51" s="1" t="s">
        <v>414</v>
      </c>
      <c r="L51" s="273">
        <f>L46</f>
        <v>105.83333333333333</v>
      </c>
      <c r="M51" s="275"/>
      <c r="N51" s="34" t="s">
        <v>438</v>
      </c>
      <c r="O51" s="370">
        <f>O46</f>
        <v>-12.7</v>
      </c>
      <c r="P51" s="370"/>
      <c r="Q51" s="369" t="s">
        <v>441</v>
      </c>
      <c r="R51" s="2" t="s">
        <v>461</v>
      </c>
      <c r="S51" s="8" t="s">
        <v>462</v>
      </c>
      <c r="T51" s="361">
        <f>X46</f>
        <v>0.4444444444444444</v>
      </c>
      <c r="U51" s="361"/>
      <c r="V51" s="33" t="s">
        <v>438</v>
      </c>
      <c r="W51" s="361">
        <f>T46</f>
        <v>1.820444444444444</v>
      </c>
      <c r="X51" s="361"/>
      <c r="Y51" s="369" t="s">
        <v>442</v>
      </c>
      <c r="AA51" s="42" t="s">
        <v>431</v>
      </c>
      <c r="AC51" s="55" t="s">
        <v>406</v>
      </c>
      <c r="AD51" s="383">
        <f>I51*L51^2*O51/I52/L52*(3+5*T51^2*W51)/(3+5*W52)</f>
        <v>395.7653334245142</v>
      </c>
      <c r="AE51" s="383"/>
      <c r="AF51" s="383"/>
      <c r="AG51" s="54" t="str">
        <f>AG44</f>
        <v>psi</v>
      </c>
      <c r="AH51" s="54"/>
    </row>
    <row r="52" spans="1:34" ht="9.75" customHeight="1">
      <c r="A52" s="6"/>
      <c r="B52" s="6"/>
      <c r="C52" s="6"/>
      <c r="D52" s="6"/>
      <c r="E52" s="6"/>
      <c r="F52" s="6"/>
      <c r="G52" s="6"/>
      <c r="H52" s="367"/>
      <c r="I52" s="227">
        <v>12</v>
      </c>
      <c r="J52" s="227"/>
      <c r="K52" s="23" t="s">
        <v>414</v>
      </c>
      <c r="L52" s="371">
        <f>L47</f>
        <v>1365.5886666666665</v>
      </c>
      <c r="M52" s="227"/>
      <c r="N52" s="23"/>
      <c r="O52" s="23"/>
      <c r="P52" s="23"/>
      <c r="Q52" s="369"/>
      <c r="R52" s="23" t="s">
        <v>461</v>
      </c>
      <c r="S52" s="10"/>
      <c r="T52" s="23"/>
      <c r="U52" s="32"/>
      <c r="V52" s="22" t="s">
        <v>265</v>
      </c>
      <c r="W52" s="260">
        <f>W51</f>
        <v>1.820444444444444</v>
      </c>
      <c r="X52" s="260"/>
      <c r="Y52" s="369"/>
      <c r="Z52" s="3"/>
      <c r="AA52" s="42" t="s">
        <v>433</v>
      </c>
      <c r="AC52" s="55" t="s">
        <v>406</v>
      </c>
      <c r="AD52" s="383">
        <f>I51*L51^2*(-O51)/I52/L52*(3+5*T51^2*W51)/(3+5*W52)</f>
        <v>-395.7653334245142</v>
      </c>
      <c r="AE52" s="383"/>
      <c r="AF52" s="383"/>
      <c r="AG52" s="54" t="str">
        <f>AG51</f>
        <v>psi</v>
      </c>
      <c r="AH52" s="54"/>
    </row>
    <row r="53" spans="1:29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AC53" s="3"/>
    </row>
    <row r="54" spans="1:29" ht="9.75" customHeight="1">
      <c r="A54" s="1"/>
      <c r="B54" s="1"/>
      <c r="C54" s="1"/>
      <c r="D54" s="9" t="s">
        <v>449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AC54" s="3"/>
    </row>
    <row r="55" spans="1:37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3"/>
      <c r="W55" s="3"/>
      <c r="X55" s="3"/>
      <c r="Y55" s="3"/>
      <c r="Z55" s="3"/>
      <c r="AA55" s="3"/>
      <c r="AB55" s="3"/>
      <c r="AC55" s="3"/>
      <c r="AD55" s="284">
        <v>1.5</v>
      </c>
      <c r="AE55" s="284"/>
      <c r="AF55" s="30" t="s">
        <v>450</v>
      </c>
      <c r="AJ55" s="275" t="s">
        <v>566</v>
      </c>
      <c r="AK55" s="275"/>
    </row>
    <row r="56" spans="1:37" ht="9.75" customHeight="1">
      <c r="A56" s="1"/>
      <c r="B56" s="1"/>
      <c r="C56" s="1"/>
      <c r="D56" s="1"/>
      <c r="E56" s="9" t="str">
        <f>E15</f>
        <v>Short Side Plate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AC56" s="3"/>
      <c r="AJ56" s="360" t="s">
        <v>567</v>
      </c>
      <c r="AK56" s="360"/>
    </row>
    <row r="57" spans="1:49" ht="9.75" customHeight="1">
      <c r="A57" s="1"/>
      <c r="B57" s="1"/>
      <c r="C57" s="1"/>
      <c r="D57" s="1"/>
      <c r="E57" s="1"/>
      <c r="F57" s="9" t="s">
        <v>451</v>
      </c>
      <c r="G57" s="1"/>
      <c r="H57" s="1" t="s">
        <v>406</v>
      </c>
      <c r="I57" s="288" t="str">
        <f>F16</f>
        <v>SmS</v>
      </c>
      <c r="J57" s="288"/>
      <c r="K57" s="21"/>
      <c r="L57" s="288" t="str">
        <f>F33</f>
        <v>(Sb)N</v>
      </c>
      <c r="M57" s="288"/>
      <c r="N57" s="21" t="s">
        <v>406</v>
      </c>
      <c r="O57" s="273">
        <f>X16</f>
        <v>-164.16773173075177</v>
      </c>
      <c r="P57" s="273"/>
      <c r="Q57" s="273"/>
      <c r="R57" s="21" t="s">
        <v>452</v>
      </c>
      <c r="S57" s="273">
        <f>AD33</f>
        <v>-8669.550933041552</v>
      </c>
      <c r="T57" s="273"/>
      <c r="U57" s="273"/>
      <c r="V57" s="42" t="s">
        <v>453</v>
      </c>
      <c r="X57" s="8" t="s">
        <v>406</v>
      </c>
      <c r="Y57" s="366">
        <f>O57+S57</f>
        <v>-8833.718664772303</v>
      </c>
      <c r="Z57" s="366"/>
      <c r="AA57" s="366"/>
      <c r="AB57" s="2" t="str">
        <f>AG33</f>
        <v>psi</v>
      </c>
      <c r="AC57" s="26" t="str">
        <f>IF(ABS(Y57)&lt;=ABS(AD57),"&lt;","&gt;")</f>
        <v>&lt;</v>
      </c>
      <c r="AD57" s="365">
        <f>AD55*mas</f>
        <v>28200</v>
      </c>
      <c r="AE57" s="365"/>
      <c r="AF57" s="365"/>
      <c r="AG57" s="364" t="str">
        <f>IF(ABS(Y57)&lt;=ABS(AD57),"OK !","NO !")</f>
        <v>OK !</v>
      </c>
      <c r="AH57" s="364"/>
      <c r="AI57" s="8" t="s">
        <v>579</v>
      </c>
      <c r="AJ57" s="361">
        <f>ABS(Y57/AD57)</f>
        <v>0.31325243492100363</v>
      </c>
      <c r="AK57" s="361"/>
      <c r="AL57" s="43" t="str">
        <f>IF(AJ57&lt;&gt;AJ71,"*","M")</f>
        <v>M</v>
      </c>
      <c r="AM57" s="362" t="str">
        <f>IF(AJ57&lt;&gt;AJ71,"",E56)</f>
        <v>Short Side Plate</v>
      </c>
      <c r="AN57" s="328"/>
      <c r="AO57" s="328"/>
      <c r="AP57" s="363"/>
      <c r="AQ57" s="362" t="str">
        <f>IF(AJ57&lt;&gt;AJ71,"",AI57)</f>
        <v>N</v>
      </c>
      <c r="AR57" s="363"/>
      <c r="AS57" s="351">
        <f>IF(AJ57&lt;&gt;AJ71,"",Y57)</f>
        <v>-8833.718664772303</v>
      </c>
      <c r="AT57" s="352"/>
      <c r="AU57" s="353">
        <f>IF(AJ57&lt;&gt;AJ71,"",AD57)</f>
        <v>28200</v>
      </c>
      <c r="AV57" s="353"/>
      <c r="AW57" s="135" t="str">
        <f>IF(AJ57&lt;&gt;AJ71,"",AG57)</f>
        <v>OK !</v>
      </c>
    </row>
    <row r="58" spans="1:49" ht="9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1" t="s">
        <v>406</v>
      </c>
      <c r="O58" s="273">
        <f>O57</f>
        <v>-164.16773173075177</v>
      </c>
      <c r="P58" s="273"/>
      <c r="Q58" s="273"/>
      <c r="R58" s="21" t="s">
        <v>452</v>
      </c>
      <c r="S58" s="273">
        <f>AD34</f>
        <v>8669.550933041552</v>
      </c>
      <c r="T58" s="273"/>
      <c r="U58" s="273"/>
      <c r="V58" s="42" t="s">
        <v>454</v>
      </c>
      <c r="X58" s="8" t="s">
        <v>406</v>
      </c>
      <c r="Y58" s="366">
        <f>O58+S58</f>
        <v>8505.3832013108</v>
      </c>
      <c r="Z58" s="366"/>
      <c r="AA58" s="366"/>
      <c r="AB58" s="2" t="str">
        <f>AB57</f>
        <v>psi</v>
      </c>
      <c r="AC58" s="26" t="str">
        <f>IF(ABS(Y58)&lt;=ABS(AD58),"&lt;","&gt;")</f>
        <v>&lt;</v>
      </c>
      <c r="AD58" s="365">
        <f>AD57</f>
        <v>28200</v>
      </c>
      <c r="AE58" s="365"/>
      <c r="AF58" s="365"/>
      <c r="AG58" s="364" t="str">
        <f>IF(ABS(Y58)&lt;=ABS(AD58),"OK !","NO !")</f>
        <v>OK !</v>
      </c>
      <c r="AH58" s="364"/>
      <c r="AJ58" s="361">
        <f>ABS(Y58/AD58)</f>
        <v>0.3016093333798156</v>
      </c>
      <c r="AK58" s="361"/>
      <c r="AL58" s="43" t="str">
        <f>IF(AJ58&lt;&gt;AJ71,"*","M")</f>
        <v>*</v>
      </c>
      <c r="AM58" s="362">
        <f>IF(AJ58&lt;&gt;AJ71,"",E56)</f>
      </c>
      <c r="AN58" s="328"/>
      <c r="AO58" s="328"/>
      <c r="AP58" s="363"/>
      <c r="AQ58" s="362">
        <f>IF(AJ58&lt;&gt;AJ71,"",AI57)</f>
      </c>
      <c r="AR58" s="363"/>
      <c r="AS58" s="351">
        <f>IF(AJ58&lt;&gt;AJ71,"",Y58)</f>
      </c>
      <c r="AT58" s="352"/>
      <c r="AU58" s="353">
        <f>IF(AJ58&lt;&gt;AJ71,"",AD58)</f>
      </c>
      <c r="AV58" s="353"/>
      <c r="AW58" s="135">
        <f>IF(AJ58&lt;&gt;AJ71,"",AG58)</f>
      </c>
    </row>
    <row r="59" spans="1:49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AC59" s="3"/>
      <c r="AM59" s="133"/>
      <c r="AN59" s="1"/>
      <c r="AO59" s="1"/>
      <c r="AP59" s="134"/>
      <c r="AS59" s="133"/>
      <c r="AT59" s="134"/>
      <c r="AW59" s="133"/>
    </row>
    <row r="60" spans="1:49" ht="9.75" customHeight="1">
      <c r="A60" s="1"/>
      <c r="B60" s="1"/>
      <c r="C60" s="1"/>
      <c r="D60" s="1"/>
      <c r="E60" s="1"/>
      <c r="F60" s="9" t="s">
        <v>455</v>
      </c>
      <c r="G60" s="1"/>
      <c r="H60" s="1" t="s">
        <v>406</v>
      </c>
      <c r="I60" s="288" t="str">
        <f>F16</f>
        <v>SmS</v>
      </c>
      <c r="J60" s="288"/>
      <c r="K60" s="21"/>
      <c r="L60" s="288" t="str">
        <f>F38</f>
        <v>(Sb)QS</v>
      </c>
      <c r="M60" s="288"/>
      <c r="N60" s="21" t="s">
        <v>406</v>
      </c>
      <c r="O60" s="273">
        <f>O57</f>
        <v>-164.16773173075177</v>
      </c>
      <c r="P60" s="273"/>
      <c r="Q60" s="273"/>
      <c r="R60" s="21" t="s">
        <v>452</v>
      </c>
      <c r="S60" s="273">
        <f>AD40</f>
        <v>1013.1592535667562</v>
      </c>
      <c r="T60" s="273"/>
      <c r="U60" s="273"/>
      <c r="V60" s="42" t="s">
        <v>453</v>
      </c>
      <c r="X60" s="8" t="s">
        <v>406</v>
      </c>
      <c r="Y60" s="366">
        <f>O60+S60</f>
        <v>848.9915218360045</v>
      </c>
      <c r="Z60" s="366"/>
      <c r="AA60" s="366"/>
      <c r="AB60" s="2" t="str">
        <f>AB57</f>
        <v>psi</v>
      </c>
      <c r="AC60" s="26" t="str">
        <f>IF(ABS(Y60)&lt;=ABS(AD60),"&lt;","&gt;")</f>
        <v>&lt;</v>
      </c>
      <c r="AD60" s="365">
        <f>AD55*mas</f>
        <v>28200</v>
      </c>
      <c r="AE60" s="365"/>
      <c r="AF60" s="365"/>
      <c r="AG60" s="364" t="str">
        <f>IF(ABS(Y60)&lt;=ABS(AD60),"OK !","NO !")</f>
        <v>OK !</v>
      </c>
      <c r="AH60" s="364"/>
      <c r="AI60" s="8" t="s">
        <v>30</v>
      </c>
      <c r="AJ60" s="361">
        <f>ABS(Y60/AD60)</f>
        <v>0.03010608233461009</v>
      </c>
      <c r="AK60" s="361"/>
      <c r="AL60" s="43" t="str">
        <f>IF(AJ60&lt;&gt;AJ71,"*","M")</f>
        <v>*</v>
      </c>
      <c r="AM60" s="362">
        <f>IF(AJ60&lt;&gt;AJ71,"",E56)</f>
      </c>
      <c r="AN60" s="328"/>
      <c r="AO60" s="328"/>
      <c r="AP60" s="363"/>
      <c r="AQ60" s="362">
        <f>IF(AJ60&lt;&gt;AJ71,"",AI60)</f>
      </c>
      <c r="AR60" s="363"/>
      <c r="AS60" s="351">
        <f>IF(AJ60&lt;&gt;AJ71,"",Y60)</f>
      </c>
      <c r="AT60" s="352"/>
      <c r="AU60" s="353">
        <f>IF(AJ60&lt;&gt;AJ71,"",AD60)</f>
      </c>
      <c r="AV60" s="353"/>
      <c r="AW60" s="135">
        <f>IF(AJ60&lt;&gt;AJ71,"",AG60)</f>
      </c>
    </row>
    <row r="61" spans="1:4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1" t="s">
        <v>406</v>
      </c>
      <c r="O61" s="273">
        <f>O60</f>
        <v>-164.16773173075177</v>
      </c>
      <c r="P61" s="273"/>
      <c r="Q61" s="273"/>
      <c r="R61" s="21" t="s">
        <v>452</v>
      </c>
      <c r="S61" s="273">
        <f>AD41</f>
        <v>-1013.1592535667562</v>
      </c>
      <c r="T61" s="273"/>
      <c r="U61" s="273"/>
      <c r="V61" s="42" t="s">
        <v>454</v>
      </c>
      <c r="W61" s="3"/>
      <c r="X61" s="8" t="s">
        <v>406</v>
      </c>
      <c r="Y61" s="366">
        <f>O61+S61</f>
        <v>-1177.326985297508</v>
      </c>
      <c r="Z61" s="366"/>
      <c r="AA61" s="366"/>
      <c r="AB61" s="2" t="str">
        <f>AB60</f>
        <v>psi</v>
      </c>
      <c r="AC61" s="26" t="str">
        <f>IF(ABS(Y61)&lt;=ABS(AD61),"&lt;","&gt;")</f>
        <v>&lt;</v>
      </c>
      <c r="AD61" s="365">
        <f>AD60</f>
        <v>28200</v>
      </c>
      <c r="AE61" s="365"/>
      <c r="AF61" s="365"/>
      <c r="AG61" s="364" t="str">
        <f>IF(ABS(Y61)&lt;=ABS(AD61),"OK !","NO !")</f>
        <v>OK !</v>
      </c>
      <c r="AH61" s="364"/>
      <c r="AJ61" s="361">
        <f>ABS(Y61/AD61)</f>
        <v>0.04174918387579815</v>
      </c>
      <c r="AK61" s="361"/>
      <c r="AL61" s="43" t="str">
        <f>IF(AJ61&lt;&gt;AJ71,"*","M")</f>
        <v>*</v>
      </c>
      <c r="AM61" s="362">
        <f>IF(AJ61&lt;&gt;AJ71,"",E56)</f>
      </c>
      <c r="AN61" s="328"/>
      <c r="AO61" s="328"/>
      <c r="AP61" s="363"/>
      <c r="AQ61" s="362">
        <f>IF(AJ61&lt;&gt;AJ71,"",AI60)</f>
      </c>
      <c r="AR61" s="363"/>
      <c r="AS61" s="357">
        <f>IF(AJ61&lt;&gt;AJ71,"",Y61)</f>
      </c>
      <c r="AT61" s="358"/>
      <c r="AU61" s="357">
        <f>IF(AJ61&lt;&gt;AJ71,"",AD61)</f>
      </c>
      <c r="AV61" s="359"/>
      <c r="AW61" s="135">
        <f>IF(AJ61&lt;&gt;AJ71,"",AG61)</f>
      </c>
    </row>
    <row r="62" spans="1:49" ht="9.75" customHeight="1">
      <c r="A62" s="6"/>
      <c r="B62" s="6"/>
      <c r="C62" s="6"/>
      <c r="D62" s="6"/>
      <c r="E62" s="9" t="str">
        <f>E21</f>
        <v>Long Side Plate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3"/>
      <c r="W62" s="3"/>
      <c r="X62" s="3"/>
      <c r="AC62" s="3"/>
      <c r="AD62" s="3"/>
      <c r="AE62" s="3"/>
      <c r="AF62" s="3"/>
      <c r="AM62" s="133"/>
      <c r="AN62" s="1"/>
      <c r="AO62" s="1"/>
      <c r="AP62" s="134"/>
      <c r="AS62" s="133"/>
      <c r="AT62" s="134"/>
      <c r="AW62" s="133"/>
    </row>
    <row r="63" spans="1:49" ht="9.75" customHeight="1">
      <c r="A63" s="6"/>
      <c r="B63" s="6"/>
      <c r="C63" s="6"/>
      <c r="D63" s="6"/>
      <c r="E63" s="6"/>
      <c r="F63" s="9" t="s">
        <v>456</v>
      </c>
      <c r="G63" s="1"/>
      <c r="H63" s="1" t="s">
        <v>406</v>
      </c>
      <c r="I63" s="288" t="str">
        <f>F22</f>
        <v>SmL</v>
      </c>
      <c r="J63" s="288"/>
      <c r="K63" s="21"/>
      <c r="L63" s="288" t="str">
        <f>F44</f>
        <v>(Sb)M</v>
      </c>
      <c r="M63" s="288"/>
      <c r="N63" s="21" t="s">
        <v>406</v>
      </c>
      <c r="O63" s="273">
        <f>Y22</f>
        <v>-574.9999999999999</v>
      </c>
      <c r="P63" s="273"/>
      <c r="Q63" s="273"/>
      <c r="R63" s="21" t="s">
        <v>452</v>
      </c>
      <c r="S63" s="273">
        <f>AD44</f>
        <v>1864.6059999696067</v>
      </c>
      <c r="T63" s="273"/>
      <c r="U63" s="273"/>
      <c r="V63" s="42" t="s">
        <v>453</v>
      </c>
      <c r="X63" s="8" t="s">
        <v>406</v>
      </c>
      <c r="Y63" s="366">
        <f>O63+S63</f>
        <v>1289.6059999696067</v>
      </c>
      <c r="Z63" s="366"/>
      <c r="AA63" s="366"/>
      <c r="AB63" s="2" t="str">
        <f>AG44</f>
        <v>psi</v>
      </c>
      <c r="AC63" s="26" t="str">
        <f>IF(ABS(Y63)&lt;=ABS(AD63),"&lt;","&gt;")</f>
        <v>&lt;</v>
      </c>
      <c r="AD63" s="365">
        <f>AD55*mas</f>
        <v>28200</v>
      </c>
      <c r="AE63" s="365"/>
      <c r="AF63" s="365"/>
      <c r="AG63" s="364" t="str">
        <f>IF(ABS(Y63)&lt;=ABS(AD63),"OK !","NO !")</f>
        <v>OK !</v>
      </c>
      <c r="AH63" s="364"/>
      <c r="AI63" s="8" t="s">
        <v>580</v>
      </c>
      <c r="AJ63" s="361">
        <f>ABS(Y63/AD63)</f>
        <v>0.04573070921878038</v>
      </c>
      <c r="AK63" s="361"/>
      <c r="AL63" s="43" t="str">
        <f>IF(AJ63&lt;&gt;AJ71,"*","M")</f>
        <v>*</v>
      </c>
      <c r="AM63" s="362">
        <f>IF(AJ63&lt;&gt;AJ71,"",E62)</f>
      </c>
      <c r="AN63" s="328"/>
      <c r="AO63" s="328"/>
      <c r="AP63" s="363"/>
      <c r="AQ63" s="362">
        <f>IF(AJ63&lt;&gt;AJ71,"",AI63)</f>
      </c>
      <c r="AR63" s="363"/>
      <c r="AS63" s="351">
        <f>IF(AJ63&lt;&gt;AJ71,"",Y63)</f>
      </c>
      <c r="AT63" s="352"/>
      <c r="AU63" s="353">
        <f>IF(AJ63&lt;&gt;AJ71,"",AD63)</f>
      </c>
      <c r="AV63" s="353"/>
      <c r="AW63" s="135">
        <f>IF(AJ63&lt;&gt;AJ71,"",AG63)</f>
      </c>
    </row>
    <row r="64" spans="1:49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" t="s">
        <v>406</v>
      </c>
      <c r="O64" s="273">
        <f>O63</f>
        <v>-574.9999999999999</v>
      </c>
      <c r="P64" s="273"/>
      <c r="Q64" s="273"/>
      <c r="R64" s="21" t="s">
        <v>452</v>
      </c>
      <c r="S64" s="273">
        <f>AD45</f>
        <v>-1864.6059999696067</v>
      </c>
      <c r="T64" s="273"/>
      <c r="U64" s="273"/>
      <c r="V64" s="42" t="s">
        <v>454</v>
      </c>
      <c r="W64" s="3"/>
      <c r="X64" s="8" t="s">
        <v>406</v>
      </c>
      <c r="Y64" s="366">
        <f>O64+S64</f>
        <v>-2439.6059999696067</v>
      </c>
      <c r="Z64" s="366"/>
      <c r="AA64" s="366"/>
      <c r="AB64" s="3" t="str">
        <f>AB63</f>
        <v>psi</v>
      </c>
      <c r="AC64" s="26" t="str">
        <f>IF(ABS(Y64)&lt;=ABS(AD64),"&lt;","&gt;")</f>
        <v>&lt;</v>
      </c>
      <c r="AD64" s="365">
        <f>AD63</f>
        <v>28200</v>
      </c>
      <c r="AE64" s="365"/>
      <c r="AF64" s="365"/>
      <c r="AG64" s="364" t="str">
        <f>IF(ABS(Y64)&lt;=ABS(AD64),"OK !","NO !")</f>
        <v>OK !</v>
      </c>
      <c r="AH64" s="364"/>
      <c r="AJ64" s="361">
        <f>ABS(Y64/AD64)</f>
        <v>0.08651085106275201</v>
      </c>
      <c r="AK64" s="361"/>
      <c r="AL64" s="43" t="str">
        <f>IF(AJ64&lt;&gt;AJ71,"*","M")</f>
        <v>*</v>
      </c>
      <c r="AM64" s="362">
        <f>IF(AJ64&lt;&gt;AJ71,"",E62)</f>
      </c>
      <c r="AN64" s="328"/>
      <c r="AO64" s="328"/>
      <c r="AP64" s="363"/>
      <c r="AQ64" s="362">
        <f>IF(AJ64&lt;&gt;AJ71,"",AI63)</f>
      </c>
      <c r="AR64" s="363"/>
      <c r="AS64" s="351">
        <f>IF(AJ64&lt;&gt;AJ71,"",Y64)</f>
      </c>
      <c r="AT64" s="352"/>
      <c r="AU64" s="353">
        <f>IF(AJ64&lt;&gt;AJ71,"",AD64)</f>
      </c>
      <c r="AV64" s="353"/>
      <c r="AW64" s="135">
        <f>IF(AJ64&lt;&gt;AJ71,"",AG64)</f>
      </c>
    </row>
    <row r="65" spans="1:49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3"/>
      <c r="W65" s="3"/>
      <c r="X65" s="3"/>
      <c r="Y65" s="3"/>
      <c r="Z65" s="3"/>
      <c r="AA65" s="3"/>
      <c r="AB65" s="3"/>
      <c r="AC65" s="3"/>
      <c r="AL65" s="43"/>
      <c r="AM65" s="131"/>
      <c r="AN65" s="43"/>
      <c r="AO65" s="43"/>
      <c r="AP65" s="132"/>
      <c r="AQ65" s="43"/>
      <c r="AR65" s="43"/>
      <c r="AS65" s="131"/>
      <c r="AT65" s="132"/>
      <c r="AU65" s="43"/>
      <c r="AV65" s="43"/>
      <c r="AW65" s="131"/>
    </row>
    <row r="66" spans="1:49" ht="9.75" customHeight="1">
      <c r="A66" s="1"/>
      <c r="B66" s="1"/>
      <c r="C66" s="1"/>
      <c r="D66" s="1"/>
      <c r="E66" s="1"/>
      <c r="F66" s="9" t="s">
        <v>455</v>
      </c>
      <c r="G66" s="1"/>
      <c r="H66" s="1" t="s">
        <v>406</v>
      </c>
      <c r="I66" s="288" t="str">
        <f>F22</f>
        <v>SmL</v>
      </c>
      <c r="J66" s="288"/>
      <c r="K66" s="21"/>
      <c r="L66" s="288" t="str">
        <f>F49</f>
        <v>(Sb)QL</v>
      </c>
      <c r="M66" s="288"/>
      <c r="N66" s="21" t="s">
        <v>406</v>
      </c>
      <c r="O66" s="273">
        <f>O63</f>
        <v>-574.9999999999999</v>
      </c>
      <c r="P66" s="273"/>
      <c r="Q66" s="273"/>
      <c r="R66" s="21" t="s">
        <v>452</v>
      </c>
      <c r="S66" s="273">
        <f>AD51</f>
        <v>395.7653334245142</v>
      </c>
      <c r="T66" s="273"/>
      <c r="U66" s="273"/>
      <c r="V66" s="42" t="s">
        <v>453</v>
      </c>
      <c r="X66" s="8" t="s">
        <v>406</v>
      </c>
      <c r="Y66" s="366">
        <f>O66+S66</f>
        <v>-179.23466657548568</v>
      </c>
      <c r="Z66" s="366"/>
      <c r="AA66" s="366"/>
      <c r="AB66" s="2" t="str">
        <f>AB63</f>
        <v>psi</v>
      </c>
      <c r="AC66" s="26" t="str">
        <f>IF(ABS(Y66)&lt;=ABS(AD66),"&lt;","&gt;")</f>
        <v>&lt;</v>
      </c>
      <c r="AD66" s="365">
        <f>AD55*mas</f>
        <v>28200</v>
      </c>
      <c r="AE66" s="365"/>
      <c r="AF66" s="365"/>
      <c r="AG66" s="364" t="str">
        <f>IF(ABS(Y66)&lt;=ABS(AD66),"OK !","NO !")</f>
        <v>OK !</v>
      </c>
      <c r="AH66" s="364"/>
      <c r="AI66" s="8" t="s">
        <v>30</v>
      </c>
      <c r="AJ66" s="361">
        <f>ABS(Y66/AD66)</f>
        <v>0.006355839240265449</v>
      </c>
      <c r="AK66" s="361"/>
      <c r="AL66" s="43" t="str">
        <f>IF(AJ66&lt;&gt;AJ71,"*","M")</f>
        <v>*</v>
      </c>
      <c r="AM66" s="362">
        <f>IF(AJ66&lt;&gt;AJ71,"",E62)</f>
      </c>
      <c r="AN66" s="328"/>
      <c r="AO66" s="328"/>
      <c r="AP66" s="363"/>
      <c r="AQ66" s="362">
        <f>IF(AJ66&lt;&gt;AJ71,"",AI66)</f>
      </c>
      <c r="AR66" s="363"/>
      <c r="AS66" s="351">
        <f>IF(AJ66&lt;&gt;AJ71,"",Y66)</f>
      </c>
      <c r="AT66" s="352"/>
      <c r="AU66" s="353">
        <f>IF(AJ66&lt;&gt;AJ71,"",AD66)</f>
      </c>
      <c r="AV66" s="353"/>
      <c r="AW66" s="135">
        <f>IF(AJ66&lt;&gt;AJ71,"",AG66)</f>
      </c>
    </row>
    <row r="67" spans="1:49" ht="9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1" t="s">
        <v>406</v>
      </c>
      <c r="O67" s="273">
        <f>O66</f>
        <v>-574.9999999999999</v>
      </c>
      <c r="P67" s="273"/>
      <c r="Q67" s="273"/>
      <c r="R67" s="21" t="s">
        <v>452</v>
      </c>
      <c r="S67" s="273">
        <f>AD52</f>
        <v>-395.7653334245142</v>
      </c>
      <c r="T67" s="273"/>
      <c r="U67" s="273"/>
      <c r="V67" s="42" t="s">
        <v>454</v>
      </c>
      <c r="X67" s="8" t="s">
        <v>406</v>
      </c>
      <c r="Y67" s="366">
        <f>O67+S67</f>
        <v>-970.7653334245141</v>
      </c>
      <c r="Z67" s="366"/>
      <c r="AA67" s="366"/>
      <c r="AB67" s="2" t="str">
        <f>AB66</f>
        <v>psi</v>
      </c>
      <c r="AC67" s="26" t="str">
        <f>IF(ABS(Y67)&lt;=ABS(AD67),"&lt;","&gt;")</f>
        <v>&lt;</v>
      </c>
      <c r="AD67" s="365">
        <f>AD66</f>
        <v>28200</v>
      </c>
      <c r="AE67" s="365"/>
      <c r="AF67" s="365"/>
      <c r="AG67" s="364" t="str">
        <f>IF(ABS(Y67)&lt;=ABS(AD67),"OK !","NO !")</f>
        <v>OK !</v>
      </c>
      <c r="AH67" s="364"/>
      <c r="AI67" s="8"/>
      <c r="AJ67" s="361">
        <f>ABS(Y67/AD67)</f>
        <v>0.03442430260370617</v>
      </c>
      <c r="AK67" s="361"/>
      <c r="AL67" s="47" t="str">
        <f>IF(AJ67&lt;&gt;AJ71,"*","M")</f>
        <v>*</v>
      </c>
      <c r="AM67" s="379">
        <f>IF(AJ67&lt;&gt;AJ71,"",E62)</f>
      </c>
      <c r="AN67" s="197"/>
      <c r="AO67" s="197"/>
      <c r="AP67" s="380"/>
      <c r="AQ67" s="379">
        <f>IF(AJ67&lt;&gt;AJ71,"",AI66)</f>
      </c>
      <c r="AR67" s="380"/>
      <c r="AS67" s="502">
        <f>IF(AJ67&lt;&gt;AJ71,"",Y67)</f>
      </c>
      <c r="AT67" s="503"/>
      <c r="AU67" s="504">
        <f>IF(AJ67&lt;&gt;AJ71,"",AD67)</f>
      </c>
      <c r="AV67" s="504"/>
      <c r="AW67" s="142">
        <f>IF(AJ67&lt;&gt;AJ71,"",AG67)</f>
      </c>
    </row>
    <row r="68" spans="1:49" ht="9.75" customHeight="1">
      <c r="A68" s="1"/>
      <c r="B68" s="1"/>
      <c r="C68" s="1"/>
      <c r="D68" s="1"/>
      <c r="E68" s="9" t="str">
        <f>E24</f>
        <v>Stay Plate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AC68" s="3"/>
      <c r="AD68" s="360" t="s">
        <v>404</v>
      </c>
      <c r="AE68" s="360"/>
      <c r="AF68" s="360"/>
      <c r="AJ68" s="239"/>
      <c r="AK68" s="229"/>
      <c r="AL68" s="49"/>
      <c r="AM68" s="229" t="str">
        <f>IF(AL57="M",AM57,IF(AL58="M",AM58,IF(AL60="M",AM60,IF(AL61="M",AM61,IF(AL63="M",AM63,IF(AL64="M",AM64,IF(AL66="M",AM66,IF(AL67="M",AM67))))))))</f>
        <v>Short Side Plate</v>
      </c>
      <c r="AN68" s="229"/>
      <c r="AO68" s="229"/>
      <c r="AP68" s="229"/>
      <c r="AQ68" s="229" t="str">
        <f>IF(AL57="M",AQ57,IF(AL58="M",AQ58,IF(AL60="M",AQ60,IF(AL61="M",AQ61,IF(AL63="M",AQ63,IF(AL64="M",AQ64,IF(AL66="M",AQ66,IF(AL67="M",AQ67))))))))</f>
        <v>N</v>
      </c>
      <c r="AR68" s="229"/>
      <c r="AS68" s="422">
        <f>IF(AL57="M",AS57,IF(AL58="M",AS58,IF(AL60="M",AS60,IF(AL61="M",AS61,IF(AL63="M",AS63,IF(AL64="M",AS64,IF(AL66="M",AS66,IF(AL67="M",AS67))))))))</f>
        <v>-8833.718664772303</v>
      </c>
      <c r="AT68" s="422"/>
      <c r="AU68" s="422">
        <f>IF(AL57="M",AU57,IF(AL58="M",AU58,IF(AL60="M",AU60,IF(AL61="M",AU61,IF(AL63="M",AU63,IF(AL64="M",AU64,IF(AL66="M",AU66,IF(AL67="M",AU67))))))))</f>
        <v>28200</v>
      </c>
      <c r="AV68" s="422"/>
      <c r="AW68" s="49" t="str">
        <f>IF(AL57="M",AW57,IF(AL58="M",AW58,IF(AL60="M",AW60,IF(AL61="M",AW61,IF(AL63="M",AW63,IF(AL64="M",AW64,IF(AL66="M",AW66,IF(AL67="M",AW67))))))))</f>
        <v>OK !</v>
      </c>
    </row>
    <row r="69" spans="1:49" ht="9.75" customHeight="1">
      <c r="A69" s="6"/>
      <c r="B69" s="6"/>
      <c r="C69" s="6"/>
      <c r="D69" s="6"/>
      <c r="E69" s="6"/>
      <c r="F69" s="7" t="s">
        <v>457</v>
      </c>
      <c r="G69" s="6"/>
      <c r="H69" s="6" t="s">
        <v>406</v>
      </c>
      <c r="I69" s="288" t="str">
        <f>F25</f>
        <v>SmSP</v>
      </c>
      <c r="J69" s="288"/>
      <c r="K69" s="6"/>
      <c r="L69" s="6"/>
      <c r="M69" s="6"/>
      <c r="N69" s="21"/>
      <c r="O69" s="273"/>
      <c r="P69" s="275"/>
      <c r="Q69" s="275"/>
      <c r="R69" s="6"/>
      <c r="S69" s="6"/>
      <c r="T69" s="6"/>
      <c r="U69" s="6"/>
      <c r="W69" s="3"/>
      <c r="X69" s="8" t="s">
        <v>406</v>
      </c>
      <c r="Y69" s="366">
        <f>X25</f>
        <v>-1016.1731946579132</v>
      </c>
      <c r="Z69" s="366"/>
      <c r="AA69" s="366"/>
      <c r="AB69" s="2" t="str">
        <f>AA25</f>
        <v>psi</v>
      </c>
      <c r="AC69" s="26" t="str">
        <f>IF(ABS(Y69)&lt;=ABS(AD69),"&lt;","&gt;")</f>
        <v>&lt;</v>
      </c>
      <c r="AD69" s="273">
        <f>AD25</f>
        <v>18800</v>
      </c>
      <c r="AE69" s="273"/>
      <c r="AF69" s="273"/>
      <c r="AG69" s="364" t="str">
        <f>IF(ABS(Y69)&lt;=ABS(AD69),"OK !","NO !")</f>
        <v>OK !</v>
      </c>
      <c r="AH69" s="364"/>
      <c r="AI69" s="8" t="s">
        <v>180</v>
      </c>
      <c r="AJ69" s="361">
        <f>ABS(Y69/AD69)</f>
        <v>0.054051765673293256</v>
      </c>
      <c r="AK69" s="361"/>
      <c r="AL69" s="63" t="str">
        <f>IF(AJ69&lt;&gt;AJ71,"*","M")</f>
        <v>*</v>
      </c>
      <c r="AM69" s="379">
        <f>IF(AJ69&lt;&gt;AJ71,"",E68)</f>
      </c>
      <c r="AN69" s="197"/>
      <c r="AO69" s="197"/>
      <c r="AP69" s="380"/>
      <c r="AQ69" s="379">
        <f>IF(AJ69&lt;&gt;AJ71,"",AI69)</f>
      </c>
      <c r="AR69" s="380"/>
      <c r="AS69" s="505">
        <f>IF(AJ69&lt;&gt;AJ71,"",Y69)</f>
      </c>
      <c r="AT69" s="506"/>
      <c r="AU69" s="507">
        <f>IF(AJ69&lt;&gt;AJ71,"",AD69)</f>
      </c>
      <c r="AV69" s="507"/>
      <c r="AW69" s="143">
        <f>IF(AJ69&lt;&gt;AJ71,"",AG69)</f>
      </c>
    </row>
    <row r="70" spans="1:49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AC70" s="3"/>
      <c r="AJ70" s="227" t="s">
        <v>568</v>
      </c>
      <c r="AK70" s="227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  <c r="AJ71" s="274">
        <f>MAX(AJ57,AJ58,AJ60,AJ61,AJ63,AJ64,AJ66,AJ67,AJ69)</f>
        <v>0.31325243492100363</v>
      </c>
      <c r="AK71" s="275"/>
      <c r="AM71" s="304" t="str">
        <f>IF(AM69&lt;&gt;"",AM69,AM68)</f>
        <v>Short Side Plate</v>
      </c>
      <c r="AN71" s="304"/>
      <c r="AO71" s="304"/>
      <c r="AP71" s="304"/>
      <c r="AQ71" s="304" t="str">
        <f>IF(AQ69&lt;&gt;"",AQ69,AQ68)</f>
        <v>N</v>
      </c>
      <c r="AR71" s="304"/>
      <c r="AS71" s="350">
        <f>IF(AS69&lt;&gt;"",AS69,AS68)</f>
        <v>-8833.718664772303</v>
      </c>
      <c r="AT71" s="350"/>
      <c r="AU71" s="350">
        <f>IF(AU69&lt;&gt;"",AU69,AU68)</f>
        <v>28200</v>
      </c>
      <c r="AV71" s="350"/>
      <c r="AW71" s="2" t="str">
        <f>IF(AW69&lt;&gt;"",AW69,AW68)</f>
        <v>OK !</v>
      </c>
    </row>
    <row r="72" spans="1:29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C72" s="3"/>
    </row>
    <row r="73" spans="1:28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0" t="str">
        <f>cosymbol</f>
        <v> NTES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 t="str">
        <f>coname</f>
        <v>Narai Thermal Engineering Services </v>
      </c>
    </row>
    <row r="117" ht="13.5" customHeight="1"/>
    <row r="118" ht="13.5" customHeight="1"/>
  </sheetData>
  <mergeCells count="281">
    <mergeCell ref="AC9:AG9"/>
    <mergeCell ref="AS71:AT71"/>
    <mergeCell ref="AU71:AV71"/>
    <mergeCell ref="AJ70:AK70"/>
    <mergeCell ref="AJ71:AK71"/>
    <mergeCell ref="AM71:AP71"/>
    <mergeCell ref="AQ71:AR71"/>
    <mergeCell ref="AU68:AV68"/>
    <mergeCell ref="AJ69:AK69"/>
    <mergeCell ref="AM69:AP69"/>
    <mergeCell ref="AQ69:AR69"/>
    <mergeCell ref="AS69:AT69"/>
    <mergeCell ref="AU69:AV69"/>
    <mergeCell ref="AJ68:AK68"/>
    <mergeCell ref="AM68:AP68"/>
    <mergeCell ref="AQ68:AR68"/>
    <mergeCell ref="AS68:AT68"/>
    <mergeCell ref="AU66:AV66"/>
    <mergeCell ref="AJ67:AK67"/>
    <mergeCell ref="AM67:AP67"/>
    <mergeCell ref="AQ67:AR67"/>
    <mergeCell ref="AS67:AT67"/>
    <mergeCell ref="AU67:AV67"/>
    <mergeCell ref="AJ66:AK66"/>
    <mergeCell ref="AM66:AP66"/>
    <mergeCell ref="AQ66:AR66"/>
    <mergeCell ref="AS66:AT66"/>
    <mergeCell ref="AJ55:AK55"/>
    <mergeCell ref="AJ56:AK56"/>
    <mergeCell ref="AJ57:AK57"/>
    <mergeCell ref="AM57:AP57"/>
    <mergeCell ref="AQ57:AR57"/>
    <mergeCell ref="AS57:AT57"/>
    <mergeCell ref="AU57:AV57"/>
    <mergeCell ref="AJ58:AK58"/>
    <mergeCell ref="AM58:AP58"/>
    <mergeCell ref="AQ58:AR58"/>
    <mergeCell ref="AS58:AT58"/>
    <mergeCell ref="AU58:AV58"/>
    <mergeCell ref="AU60:AV60"/>
    <mergeCell ref="AJ61:AK61"/>
    <mergeCell ref="AM61:AP61"/>
    <mergeCell ref="AQ61:AR61"/>
    <mergeCell ref="AS61:AT61"/>
    <mergeCell ref="AU61:AV61"/>
    <mergeCell ref="AJ60:AK60"/>
    <mergeCell ref="AM60:AP60"/>
    <mergeCell ref="AQ60:AR60"/>
    <mergeCell ref="AS60:AT60"/>
    <mergeCell ref="AU63:AV63"/>
    <mergeCell ref="AJ64:AK64"/>
    <mergeCell ref="AM64:AP64"/>
    <mergeCell ref="AQ64:AR64"/>
    <mergeCell ref="AS64:AT64"/>
    <mergeCell ref="AU64:AV64"/>
    <mergeCell ref="AJ63:AK63"/>
    <mergeCell ref="AM63:AP63"/>
    <mergeCell ref="AQ63:AR63"/>
    <mergeCell ref="AS63:AT63"/>
    <mergeCell ref="S16:T16"/>
    <mergeCell ref="S17:T17"/>
    <mergeCell ref="AB18:AC18"/>
    <mergeCell ref="AB19:AC19"/>
    <mergeCell ref="AB46:AC46"/>
    <mergeCell ref="AB47:AC47"/>
    <mergeCell ref="W40:X40"/>
    <mergeCell ref="T47:U47"/>
    <mergeCell ref="Y40:Y41"/>
    <mergeCell ref="W41:X41"/>
    <mergeCell ref="T40:U40"/>
    <mergeCell ref="AA46:AA47"/>
    <mergeCell ref="T33:U33"/>
    <mergeCell ref="T34:U34"/>
    <mergeCell ref="AG35:AH35"/>
    <mergeCell ref="AG36:AH36"/>
    <mergeCell ref="AA35:AB35"/>
    <mergeCell ref="AD35:AE35"/>
    <mergeCell ref="AF35:AF36"/>
    <mergeCell ref="AD33:AF33"/>
    <mergeCell ref="AD34:AF34"/>
    <mergeCell ref="Y64:AA64"/>
    <mergeCell ref="Y67:AA67"/>
    <mergeCell ref="AD61:AF61"/>
    <mergeCell ref="AD64:AF64"/>
    <mergeCell ref="AD67:AF67"/>
    <mergeCell ref="Y66:AA66"/>
    <mergeCell ref="AD66:AF66"/>
    <mergeCell ref="Y63:AA63"/>
    <mergeCell ref="AD63:AF63"/>
    <mergeCell ref="AG61:AH61"/>
    <mergeCell ref="AG64:AH64"/>
    <mergeCell ref="AG67:AH67"/>
    <mergeCell ref="AG66:AH66"/>
    <mergeCell ref="AG63:AH63"/>
    <mergeCell ref="A1:AH3"/>
    <mergeCell ref="AC6:AG6"/>
    <mergeCell ref="AC7:AD7"/>
    <mergeCell ref="AF7:AG7"/>
    <mergeCell ref="AC8:AG8"/>
    <mergeCell ref="M22:N22"/>
    <mergeCell ref="P22:Q22"/>
    <mergeCell ref="S22:T22"/>
    <mergeCell ref="Y22:AA22"/>
    <mergeCell ref="S18:T18"/>
    <mergeCell ref="S19:T19"/>
    <mergeCell ref="M16:M17"/>
    <mergeCell ref="N16:Q16"/>
    <mergeCell ref="N17:Q17"/>
    <mergeCell ref="AA27:AA28"/>
    <mergeCell ref="L27:M27"/>
    <mergeCell ref="I28:J28"/>
    <mergeCell ref="L28:M28"/>
    <mergeCell ref="P27:P28"/>
    <mergeCell ref="I27:J27"/>
    <mergeCell ref="F25:G26"/>
    <mergeCell ref="S27:T27"/>
    <mergeCell ref="X27:Y27"/>
    <mergeCell ref="S28:T28"/>
    <mergeCell ref="H27:H28"/>
    <mergeCell ref="I26:J26"/>
    <mergeCell ref="K25:K26"/>
    <mergeCell ref="L25:O25"/>
    <mergeCell ref="L26:O26"/>
    <mergeCell ref="P25:P26"/>
    <mergeCell ref="I25:J25"/>
    <mergeCell ref="I16:J16"/>
    <mergeCell ref="I17:J17"/>
    <mergeCell ref="H25:H26"/>
    <mergeCell ref="I19:J19"/>
    <mergeCell ref="F16:G17"/>
    <mergeCell ref="H16:H17"/>
    <mergeCell ref="R16:R17"/>
    <mergeCell ref="I18:J18"/>
    <mergeCell ref="L18:M18"/>
    <mergeCell ref="K16:K17"/>
    <mergeCell ref="L16:L17"/>
    <mergeCell ref="H18:H19"/>
    <mergeCell ref="L19:M19"/>
    <mergeCell ref="N18:N19"/>
    <mergeCell ref="AD14:AF14"/>
    <mergeCell ref="AD16:AF17"/>
    <mergeCell ref="AC16:AC17"/>
    <mergeCell ref="X18:Y18"/>
    <mergeCell ref="AA18:AA19"/>
    <mergeCell ref="AA16:AB17"/>
    <mergeCell ref="AD22:AF22"/>
    <mergeCell ref="O18:O19"/>
    <mergeCell ref="P18:P19"/>
    <mergeCell ref="V22:W22"/>
    <mergeCell ref="AG16:AH17"/>
    <mergeCell ref="AG22:AH22"/>
    <mergeCell ref="W25:W26"/>
    <mergeCell ref="X25:Z26"/>
    <mergeCell ref="AA25:AB26"/>
    <mergeCell ref="AC25:AC26"/>
    <mergeCell ref="AD25:AF26"/>
    <mergeCell ref="AG25:AH26"/>
    <mergeCell ref="W16:W17"/>
    <mergeCell ref="X16:Z17"/>
    <mergeCell ref="H46:H47"/>
    <mergeCell ref="F33:G34"/>
    <mergeCell ref="H33:H34"/>
    <mergeCell ref="P34:R34"/>
    <mergeCell ref="I35:J35"/>
    <mergeCell ref="L35:M35"/>
    <mergeCell ref="N35:N36"/>
    <mergeCell ref="O35:P36"/>
    <mergeCell ref="Q35:R36"/>
    <mergeCell ref="H35:H36"/>
    <mergeCell ref="I34:J34"/>
    <mergeCell ref="H40:H41"/>
    <mergeCell ref="F44:G45"/>
    <mergeCell ref="H44:H45"/>
    <mergeCell ref="F38:G39"/>
    <mergeCell ref="H38:H39"/>
    <mergeCell ref="I38:J38"/>
    <mergeCell ref="I36:J36"/>
    <mergeCell ref="I40:J40"/>
    <mergeCell ref="I44:J44"/>
    <mergeCell ref="F49:G50"/>
    <mergeCell ref="H49:H50"/>
    <mergeCell ref="H51:H52"/>
    <mergeCell ref="Y61:AA61"/>
    <mergeCell ref="O49:O50"/>
    <mergeCell ref="I52:J52"/>
    <mergeCell ref="L52:M52"/>
    <mergeCell ref="T51:U51"/>
    <mergeCell ref="W51:X51"/>
    <mergeCell ref="W52:X52"/>
    <mergeCell ref="AG57:AH57"/>
    <mergeCell ref="O60:Q60"/>
    <mergeCell ref="S60:U60"/>
    <mergeCell ref="Y60:AA60"/>
    <mergeCell ref="AD60:AF60"/>
    <mergeCell ref="AG60:AH60"/>
    <mergeCell ref="O57:Q57"/>
    <mergeCell ref="S57:U57"/>
    <mergeCell ref="Y57:AA57"/>
    <mergeCell ref="AG58:AH58"/>
    <mergeCell ref="I66:J66"/>
    <mergeCell ref="L66:M66"/>
    <mergeCell ref="L57:M57"/>
    <mergeCell ref="I60:J60"/>
    <mergeCell ref="L60:M60"/>
    <mergeCell ref="I69:J69"/>
    <mergeCell ref="Y69:AA69"/>
    <mergeCell ref="AD69:AF69"/>
    <mergeCell ref="AG69:AH69"/>
    <mergeCell ref="O69:Q69"/>
    <mergeCell ref="AD68:AF68"/>
    <mergeCell ref="AD55:AE55"/>
    <mergeCell ref="I33:J33"/>
    <mergeCell ref="K33:K34"/>
    <mergeCell ref="L33:O34"/>
    <mergeCell ref="P33:R33"/>
    <mergeCell ref="S33:S34"/>
    <mergeCell ref="I57:J57"/>
    <mergeCell ref="I63:J63"/>
    <mergeCell ref="L63:M63"/>
    <mergeCell ref="K38:K39"/>
    <mergeCell ref="L38:N38"/>
    <mergeCell ref="O38:O39"/>
    <mergeCell ref="I39:J39"/>
    <mergeCell ref="L39:N39"/>
    <mergeCell ref="L36:M36"/>
    <mergeCell ref="AD36:AE36"/>
    <mergeCell ref="T35:U36"/>
    <mergeCell ref="S35:S36"/>
    <mergeCell ref="V35:W36"/>
    <mergeCell ref="X35:X36"/>
    <mergeCell ref="L40:M40"/>
    <mergeCell ref="O40:P40"/>
    <mergeCell ref="Q40:Q41"/>
    <mergeCell ref="I41:J41"/>
    <mergeCell ref="L41:M41"/>
    <mergeCell ref="I45:J45"/>
    <mergeCell ref="I46:J46"/>
    <mergeCell ref="L46:M46"/>
    <mergeCell ref="K44:K45"/>
    <mergeCell ref="L44:O44"/>
    <mergeCell ref="L45:O45"/>
    <mergeCell ref="K49:K50"/>
    <mergeCell ref="L49:N49"/>
    <mergeCell ref="I50:J50"/>
    <mergeCell ref="L50:N50"/>
    <mergeCell ref="Q44:R44"/>
    <mergeCell ref="Q45:R45"/>
    <mergeCell ref="I51:J51"/>
    <mergeCell ref="L51:M51"/>
    <mergeCell ref="O51:P51"/>
    <mergeCell ref="Q51:Q52"/>
    <mergeCell ref="I47:J47"/>
    <mergeCell ref="L47:M47"/>
    <mergeCell ref="I49:J49"/>
    <mergeCell ref="P44:P45"/>
    <mergeCell ref="Q46:Q47"/>
    <mergeCell ref="T46:U46"/>
    <mergeCell ref="X46:Y46"/>
    <mergeCell ref="O46:P46"/>
    <mergeCell ref="AD40:AF40"/>
    <mergeCell ref="AD41:AF41"/>
    <mergeCell ref="AD51:AF51"/>
    <mergeCell ref="AD52:AF52"/>
    <mergeCell ref="AD44:AF44"/>
    <mergeCell ref="AD45:AF45"/>
    <mergeCell ref="O58:Q58"/>
    <mergeCell ref="S58:U58"/>
    <mergeCell ref="Y51:Y52"/>
    <mergeCell ref="AD57:AF57"/>
    <mergeCell ref="AD58:AF58"/>
    <mergeCell ref="Y58:AA58"/>
    <mergeCell ref="O67:Q67"/>
    <mergeCell ref="S67:U67"/>
    <mergeCell ref="O61:Q61"/>
    <mergeCell ref="S61:U61"/>
    <mergeCell ref="O64:Q64"/>
    <mergeCell ref="S64:U64"/>
    <mergeCell ref="O66:Q66"/>
    <mergeCell ref="S66:U66"/>
    <mergeCell ref="O63:Q63"/>
    <mergeCell ref="S63:U6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2007-07-20T03:19:57Z</cp:lastPrinted>
  <dcterms:created xsi:type="dcterms:W3CDTF">2003-02-24T17:06:01Z</dcterms:created>
  <dcterms:modified xsi:type="dcterms:W3CDTF">2020-01-05T03:43:48Z</dcterms:modified>
  <cp:category/>
  <cp:version/>
  <cp:contentType/>
  <cp:contentStatus/>
</cp:coreProperties>
</file>